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64011"/>
  <mc:AlternateContent xmlns:mc="http://schemas.openxmlformats.org/markup-compatibility/2006">
    <mc:Choice Requires="x15">
      <x15ac:absPath xmlns:x15ac="http://schemas.microsoft.com/office/spreadsheetml/2010/11/ac" url="I:\CGCC_WWW\documents\attachments\2023\GPAC\"/>
    </mc:Choice>
  </mc:AlternateContent>
  <bookViews>
    <workbookView xWindow="0" yWindow="0" windowWidth="28800" windowHeight="14100" activeTab="3"/>
  </bookViews>
  <sheets>
    <sheet name="1) MOCK DATA" sheetId="3" r:id="rId1"/>
    <sheet name="2) ANNUAL FEE DETAIL-MOCK DATA" sheetId="5" r:id="rId2"/>
    <sheet name="3)MOCK DATA-CURRENT METHODOLOGY" sheetId="4" r:id="rId3"/>
    <sheet name="GHJ Methodology Summary" sheetId="6" r:id="rId4"/>
  </sheets>
  <externalReferences>
    <externalReference r:id="rId5"/>
  </externalReferences>
  <definedNames>
    <definedName name="_xlnm._FilterDatabase" localSheetId="0" hidden="1">'1) MOCK DATA'!$A$23:$I$136</definedName>
    <definedName name="BenefitRate">[1]ICRP!$C$11</definedName>
    <definedName name="ColumnTitle1" localSheetId="2">#REF!</definedName>
    <definedName name="ColumnTitle1">#REF!</definedName>
    <definedName name="ColumnTitleRegion1..B6.1" localSheetId="2">#REF!</definedName>
    <definedName name="ColumnTitleRegion1..B6.1">#REF!</definedName>
    <definedName name="ColumnTitleRegion2..B13.1" localSheetId="2">#REF!</definedName>
    <definedName name="ColumnTitleRegion2..B13.1">#REF!</definedName>
    <definedName name="defFloatHoliday">[1]PSA!$N$6</definedName>
    <definedName name="defHoliday">[1]PSA!$N$3</definedName>
    <definedName name="defRegLeave">[1]PSA!$N$5</definedName>
    <definedName name="defSickLeave">[1]PSA!$N$4</definedName>
    <definedName name="defVacation">[1]PSA!$N$2</definedName>
    <definedName name="ExtIndirectRate">[1]ICRP!$J$53</definedName>
    <definedName name="IntIndirectRate">[1]ICRP!$J$50</definedName>
    <definedName name="Positions">[1]!tblPSA[Position Title]</definedName>
    <definedName name="_xlnm.Print_Area" localSheetId="0">'1) MOCK DATA'!$A$22:$I$154</definedName>
    <definedName name="_xlnm.Print_Area" localSheetId="1">'2) ANNUAL FEE DETAIL-MOCK DATA'!$A$8:$AJ$97</definedName>
    <definedName name="_xlnm.Print_Area" localSheetId="2">'3)MOCK DATA-CURRENT METHODOLOGY'!$A$1:$L$52</definedName>
    <definedName name="ServiceDefs">[1]!tblSvcDef[I]</definedName>
    <definedName name="Tasks" comment="The default tasks">[1]!tblTasks[Task Descriptions]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2" i="3" l="1"/>
  <c r="I142" i="3"/>
  <c r="C50" i="4" s="1"/>
  <c r="C5" i="6" s="1"/>
  <c r="J141" i="3"/>
  <c r="I141" i="3"/>
  <c r="C49" i="4" s="1"/>
  <c r="C4" i="6" s="1"/>
  <c r="T41" i="5"/>
  <c r="U41" i="5" s="1"/>
  <c r="T42" i="5"/>
  <c r="O69" i="5"/>
  <c r="P69" i="5" s="1"/>
  <c r="F46" i="5"/>
  <c r="F47" i="5"/>
  <c r="F48" i="5"/>
  <c r="F49" i="5"/>
  <c r="F50" i="5"/>
  <c r="F51" i="5"/>
  <c r="F52" i="5"/>
  <c r="F53" i="5"/>
  <c r="F54" i="5"/>
  <c r="F55" i="5"/>
  <c r="F56" i="5"/>
  <c r="F57" i="5"/>
  <c r="F58" i="5"/>
  <c r="F59" i="5"/>
  <c r="F60" i="5"/>
  <c r="F61" i="5"/>
  <c r="F62" i="5"/>
  <c r="F63" i="5"/>
  <c r="F64" i="5"/>
  <c r="F65" i="5"/>
  <c r="F66" i="5"/>
  <c r="F67" i="5"/>
  <c r="F68" i="5"/>
  <c r="F69" i="5"/>
  <c r="F70" i="5"/>
  <c r="F71" i="5"/>
  <c r="F73" i="5"/>
  <c r="F74" i="5"/>
  <c r="F75" i="5"/>
  <c r="F76" i="5"/>
  <c r="F77" i="5"/>
  <c r="F78" i="5"/>
  <c r="F79"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8" i="5"/>
  <c r="K79" i="5"/>
  <c r="P46" i="5"/>
  <c r="P47" i="5"/>
  <c r="P48" i="5"/>
  <c r="P49" i="5"/>
  <c r="P50" i="5"/>
  <c r="P51" i="5"/>
  <c r="P52" i="5"/>
  <c r="P53" i="5"/>
  <c r="P54" i="5"/>
  <c r="P55" i="5"/>
  <c r="P56" i="5"/>
  <c r="P57" i="5"/>
  <c r="P58" i="5"/>
  <c r="P59" i="5"/>
  <c r="P60" i="5"/>
  <c r="P61" i="5"/>
  <c r="P62" i="5"/>
  <c r="P63" i="5"/>
  <c r="P64" i="5"/>
  <c r="P65" i="5"/>
  <c r="P66" i="5"/>
  <c r="P67" i="5"/>
  <c r="P68" i="5"/>
  <c r="P70" i="5"/>
  <c r="P71" i="5"/>
  <c r="P72" i="5"/>
  <c r="P73" i="5"/>
  <c r="P74" i="5"/>
  <c r="P75" i="5"/>
  <c r="P76" i="5"/>
  <c r="P77" i="5"/>
  <c r="P78" i="5"/>
  <c r="P79"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45" i="5"/>
  <c r="Z45" i="5"/>
  <c r="U45" i="5"/>
  <c r="P45" i="5"/>
  <c r="K45" i="5"/>
  <c r="F45" i="5"/>
  <c r="AF46" i="5"/>
  <c r="AG46" i="5"/>
  <c r="AH46" i="5"/>
  <c r="AI46" i="5"/>
  <c r="AF47" i="5"/>
  <c r="AG47" i="5"/>
  <c r="AH47" i="5"/>
  <c r="AI47" i="5"/>
  <c r="AF48" i="5"/>
  <c r="AG48" i="5"/>
  <c r="AH48" i="5"/>
  <c r="AI48" i="5"/>
  <c r="AF49" i="5"/>
  <c r="AG49" i="5"/>
  <c r="AH49" i="5"/>
  <c r="AI49" i="5"/>
  <c r="AF50" i="5"/>
  <c r="AG50" i="5"/>
  <c r="AH50" i="5"/>
  <c r="AI50" i="5"/>
  <c r="AF51" i="5"/>
  <c r="AG51" i="5"/>
  <c r="AH51" i="5"/>
  <c r="AI51" i="5"/>
  <c r="AF52" i="5"/>
  <c r="AG52" i="5"/>
  <c r="AH52" i="5"/>
  <c r="AI52" i="5"/>
  <c r="AF53" i="5"/>
  <c r="AG53" i="5"/>
  <c r="AH53" i="5"/>
  <c r="AI53" i="5"/>
  <c r="AF54" i="5"/>
  <c r="AG54" i="5"/>
  <c r="AH54" i="5"/>
  <c r="AI54" i="5"/>
  <c r="AF55" i="5"/>
  <c r="AG55" i="5"/>
  <c r="AH55" i="5"/>
  <c r="AI55" i="5"/>
  <c r="AF56" i="5"/>
  <c r="AG56" i="5"/>
  <c r="AH56" i="5"/>
  <c r="AI56" i="5"/>
  <c r="AF57" i="5"/>
  <c r="AG57" i="5"/>
  <c r="AH57" i="5"/>
  <c r="AI57" i="5"/>
  <c r="AF58" i="5"/>
  <c r="AG58" i="5"/>
  <c r="AH58" i="5"/>
  <c r="AI58" i="5"/>
  <c r="AF59" i="5"/>
  <c r="AG59" i="5"/>
  <c r="AH59" i="5"/>
  <c r="AI59" i="5"/>
  <c r="AF60" i="5"/>
  <c r="AG60" i="5"/>
  <c r="AH60" i="5"/>
  <c r="AI60" i="5"/>
  <c r="AF61" i="5"/>
  <c r="AG61" i="5"/>
  <c r="AH61" i="5"/>
  <c r="AI61" i="5"/>
  <c r="AF62" i="5"/>
  <c r="AG62" i="5"/>
  <c r="AH62" i="5"/>
  <c r="AI62" i="5"/>
  <c r="AF63" i="5"/>
  <c r="AG63" i="5"/>
  <c r="AH63" i="5"/>
  <c r="AI63" i="5"/>
  <c r="AF64" i="5"/>
  <c r="AG64" i="5"/>
  <c r="AH64" i="5"/>
  <c r="AI64" i="5"/>
  <c r="AF65" i="5"/>
  <c r="AG65" i="5"/>
  <c r="AH65" i="5"/>
  <c r="AI65" i="5"/>
  <c r="AF66" i="5"/>
  <c r="AG66" i="5"/>
  <c r="AH66" i="5"/>
  <c r="AI66" i="5"/>
  <c r="AF67" i="5"/>
  <c r="AG67" i="5"/>
  <c r="AH67" i="5"/>
  <c r="AI67" i="5"/>
  <c r="AF68" i="5"/>
  <c r="AG68" i="5"/>
  <c r="AH68" i="5"/>
  <c r="AI68" i="5"/>
  <c r="AF69" i="5"/>
  <c r="AG69" i="5"/>
  <c r="AH69" i="5"/>
  <c r="AF70" i="5"/>
  <c r="AG70" i="5"/>
  <c r="AH70" i="5"/>
  <c r="AI70" i="5"/>
  <c r="AF71" i="5"/>
  <c r="AG71" i="5"/>
  <c r="AH71" i="5"/>
  <c r="AI71" i="5"/>
  <c r="AF72" i="5"/>
  <c r="AG72" i="5"/>
  <c r="AI72" i="5"/>
  <c r="AF73" i="5"/>
  <c r="AG73" i="5"/>
  <c r="AH73" i="5"/>
  <c r="AI73" i="5"/>
  <c r="AF74" i="5"/>
  <c r="AG74" i="5"/>
  <c r="AH74" i="5"/>
  <c r="AI74" i="5"/>
  <c r="AF75" i="5"/>
  <c r="AG75" i="5"/>
  <c r="AH75" i="5"/>
  <c r="AI75" i="5"/>
  <c r="AF76" i="5"/>
  <c r="AG76" i="5"/>
  <c r="AH76" i="5"/>
  <c r="AF77" i="5"/>
  <c r="AG77" i="5"/>
  <c r="AH77" i="5"/>
  <c r="AF78" i="5"/>
  <c r="AG78" i="5"/>
  <c r="AH78" i="5"/>
  <c r="AI78" i="5"/>
  <c r="AF79" i="5"/>
  <c r="AG79" i="5"/>
  <c r="AH79" i="5"/>
  <c r="AI79" i="5"/>
  <c r="AI45" i="5"/>
  <c r="AH45" i="5"/>
  <c r="AG45" i="5"/>
  <c r="AF45"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2" i="5"/>
  <c r="AI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2"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Z11" i="5"/>
  <c r="U11" i="5"/>
  <c r="P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11" i="5"/>
  <c r="J77" i="5"/>
  <c r="K77" i="5" s="1"/>
  <c r="J76" i="5"/>
  <c r="AI76" i="5" s="1"/>
  <c r="AD80" i="5"/>
  <c r="AC80" i="5"/>
  <c r="AA80" i="5"/>
  <c r="Y80" i="5"/>
  <c r="X80" i="5"/>
  <c r="V80" i="5"/>
  <c r="T80" i="5"/>
  <c r="S80" i="5"/>
  <c r="Q80" i="5"/>
  <c r="N80" i="5"/>
  <c r="L80" i="5"/>
  <c r="I80" i="5"/>
  <c r="G80" i="5"/>
  <c r="AD43" i="5"/>
  <c r="AC43" i="5"/>
  <c r="AA43" i="5"/>
  <c r="Y43" i="5"/>
  <c r="X43" i="5"/>
  <c r="V43" i="5"/>
  <c r="S43" i="5"/>
  <c r="Q43" i="5"/>
  <c r="O43" i="5"/>
  <c r="N43" i="5"/>
  <c r="L43" i="5"/>
  <c r="J43" i="5"/>
  <c r="I43" i="5"/>
  <c r="G43" i="5"/>
  <c r="D72" i="5"/>
  <c r="D80" i="5" s="1"/>
  <c r="E80" i="5"/>
  <c r="B80" i="5"/>
  <c r="E43" i="5"/>
  <c r="D43" i="5"/>
  <c r="B43"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11" i="5"/>
  <c r="AJ45" i="5" l="1"/>
  <c r="AJ16" i="5"/>
  <c r="AJ70" i="5"/>
  <c r="AJ24" i="5"/>
  <c r="AJ33" i="5"/>
  <c r="V81" i="5"/>
  <c r="AJ34" i="5"/>
  <c r="AJ11" i="5"/>
  <c r="E81" i="5"/>
  <c r="G81" i="5"/>
  <c r="AJ78" i="5"/>
  <c r="AJ25" i="5"/>
  <c r="D81" i="5"/>
  <c r="AJ37" i="5"/>
  <c r="AJ17" i="5"/>
  <c r="AJ62" i="5"/>
  <c r="AJ54" i="5"/>
  <c r="AJ46" i="5"/>
  <c r="AJ40" i="5"/>
  <c r="AJ32" i="5"/>
  <c r="AJ74" i="5"/>
  <c r="AJ39" i="5"/>
  <c r="AJ31" i="5"/>
  <c r="AJ23" i="5"/>
  <c r="AJ15" i="5"/>
  <c r="AJ38" i="5"/>
  <c r="AJ22" i="5"/>
  <c r="AJ14" i="5"/>
  <c r="AJ67" i="5"/>
  <c r="AJ65" i="5"/>
  <c r="AJ63" i="5"/>
  <c r="AJ61" i="5"/>
  <c r="AJ59" i="5"/>
  <c r="AJ57" i="5"/>
  <c r="AJ55" i="5"/>
  <c r="AJ53" i="5"/>
  <c r="AJ51" i="5"/>
  <c r="AJ49" i="5"/>
  <c r="AJ47" i="5"/>
  <c r="N81" i="5"/>
  <c r="AJ21" i="5"/>
  <c r="AJ13" i="5"/>
  <c r="AJ71" i="5"/>
  <c r="O80" i="5"/>
  <c r="O81" i="5" s="1"/>
  <c r="AJ36" i="5"/>
  <c r="AJ28" i="5"/>
  <c r="AJ20" i="5"/>
  <c r="AJ12" i="5"/>
  <c r="AJ75" i="5"/>
  <c r="AJ73" i="5"/>
  <c r="F72" i="5"/>
  <c r="F80" i="5" s="1"/>
  <c r="AH43" i="5"/>
  <c r="AJ35" i="5"/>
  <c r="AJ27" i="5"/>
  <c r="AJ19" i="5"/>
  <c r="AJ26" i="5"/>
  <c r="AJ18" i="5"/>
  <c r="AJ79" i="5"/>
  <c r="AJ68" i="5"/>
  <c r="AJ66" i="5"/>
  <c r="AJ64" i="5"/>
  <c r="AJ60" i="5"/>
  <c r="AJ58" i="5"/>
  <c r="AJ56" i="5"/>
  <c r="AJ52" i="5"/>
  <c r="AJ50" i="5"/>
  <c r="AJ48" i="5"/>
  <c r="U80" i="5"/>
  <c r="AJ76" i="5"/>
  <c r="AD81" i="5"/>
  <c r="AJ29" i="5"/>
  <c r="AI77" i="5"/>
  <c r="AJ77" i="5" s="1"/>
  <c r="AJ42" i="5"/>
  <c r="K76" i="5"/>
  <c r="K80" i="5" s="1"/>
  <c r="I81" i="5"/>
  <c r="Y81" i="5"/>
  <c r="AJ30" i="5"/>
  <c r="AH72" i="5"/>
  <c r="AH80" i="5" s="1"/>
  <c r="AF43" i="5"/>
  <c r="AG43" i="5"/>
  <c r="AA81" i="5"/>
  <c r="AE80" i="5"/>
  <c r="AG80" i="5"/>
  <c r="AF80" i="5"/>
  <c r="Z80" i="5"/>
  <c r="T43" i="5"/>
  <c r="T81" i="5" s="1"/>
  <c r="AI41" i="5"/>
  <c r="AJ41" i="5" s="1"/>
  <c r="AI69" i="5"/>
  <c r="AJ69" i="5" s="1"/>
  <c r="P80" i="5"/>
  <c r="L81" i="5"/>
  <c r="AC81" i="5"/>
  <c r="J80" i="5"/>
  <c r="J81" i="5" s="1"/>
  <c r="AE43" i="5"/>
  <c r="F43" i="5"/>
  <c r="X81" i="5"/>
  <c r="Q81" i="5"/>
  <c r="K43" i="5"/>
  <c r="S81" i="5"/>
  <c r="Z43" i="5"/>
  <c r="U43" i="5"/>
  <c r="P43" i="5"/>
  <c r="B81" i="5"/>
  <c r="C153" i="3"/>
  <c r="U81" i="5" l="1"/>
  <c r="E29" i="4" s="1"/>
  <c r="K81" i="5"/>
  <c r="E27" i="4" s="1"/>
  <c r="AH81" i="5"/>
  <c r="F81" i="5"/>
  <c r="E26" i="4" s="1"/>
  <c r="AJ43" i="5"/>
  <c r="AJ72" i="5"/>
  <c r="AJ80" i="5" s="1"/>
  <c r="AJ81" i="5" s="1"/>
  <c r="AI43" i="5"/>
  <c r="AI80" i="5"/>
  <c r="AG81" i="5"/>
  <c r="AF81" i="5"/>
  <c r="AE81" i="5"/>
  <c r="E31" i="4" s="1"/>
  <c r="Z81" i="5"/>
  <c r="E30" i="4" s="1"/>
  <c r="P81" i="5"/>
  <c r="E28" i="4" s="1"/>
  <c r="G142" i="3"/>
  <c r="G141" i="3"/>
  <c r="F142" i="3"/>
  <c r="F141" i="3"/>
  <c r="E142" i="3"/>
  <c r="B50" i="4" s="1"/>
  <c r="C11" i="6" s="1"/>
  <c r="E141" i="3"/>
  <c r="B49" i="4" s="1"/>
  <c r="C10" i="6" s="1"/>
  <c r="G29" i="4"/>
  <c r="F29" i="4"/>
  <c r="G27" i="4"/>
  <c r="F27" i="4"/>
  <c r="H31" i="4"/>
  <c r="H30" i="4"/>
  <c r="I30" i="4" s="1"/>
  <c r="I26" i="4"/>
  <c r="C143" i="3"/>
  <c r="B143" i="3"/>
  <c r="D141" i="3"/>
  <c r="D142" i="3"/>
  <c r="G28" i="4" s="1"/>
  <c r="I135" i="3"/>
  <c r="I134" i="3"/>
  <c r="G126" i="3"/>
  <c r="H135" i="3"/>
  <c r="H134" i="3"/>
  <c r="E135" i="3"/>
  <c r="F135" i="3"/>
  <c r="D135" i="3"/>
  <c r="E134" i="3"/>
  <c r="F134" i="3"/>
  <c r="D134" i="3"/>
  <c r="L141" i="3" l="1"/>
  <c r="J39" i="4" s="1"/>
  <c r="K141" i="3"/>
  <c r="L142" i="3"/>
  <c r="J43" i="4" s="1"/>
  <c r="K142" i="3"/>
  <c r="AI81" i="5"/>
  <c r="G143" i="3"/>
  <c r="H27" i="4"/>
  <c r="I27" i="4" s="1"/>
  <c r="G26" i="4"/>
  <c r="D143" i="3"/>
  <c r="F26" i="4"/>
  <c r="F28" i="4"/>
  <c r="H28" i="4" s="1"/>
  <c r="I28" i="4" s="1"/>
  <c r="E136" i="3"/>
  <c r="F143" i="3"/>
  <c r="E143" i="3"/>
  <c r="H29" i="4"/>
  <c r="J29" i="4" s="1"/>
  <c r="J31" i="4"/>
  <c r="G40" i="4" s="1"/>
  <c r="E32" i="4"/>
  <c r="J26" i="4"/>
  <c r="J30" i="4"/>
  <c r="F38" i="4" s="1"/>
  <c r="I31" i="4"/>
  <c r="I136" i="3"/>
  <c r="D136" i="3"/>
  <c r="H136" i="3"/>
  <c r="F136" i="3"/>
  <c r="J42" i="4" l="1"/>
  <c r="J44" i="4" s="1"/>
  <c r="M142" i="3"/>
  <c r="J38" i="4"/>
  <c r="J40" i="4" s="1"/>
  <c r="M141" i="3"/>
  <c r="K29" i="4"/>
  <c r="E38" i="4"/>
  <c r="K26" i="4"/>
  <c r="L26" i="4" s="1"/>
  <c r="B39" i="4"/>
  <c r="K31" i="4"/>
  <c r="G38" i="4"/>
  <c r="J27" i="4"/>
  <c r="B40" i="4"/>
  <c r="I29" i="4"/>
  <c r="E40" i="4"/>
  <c r="J28" i="4"/>
  <c r="K30" i="4"/>
  <c r="F40" i="4"/>
  <c r="L29" i="4"/>
  <c r="B38" i="4" l="1"/>
  <c r="C40" i="4"/>
  <c r="C39" i="4"/>
  <c r="H39" i="4" s="1"/>
  <c r="D49" i="4" s="1"/>
  <c r="C38" i="4"/>
  <c r="F44" i="4"/>
  <c r="F42" i="4"/>
  <c r="F45" i="4" s="1"/>
  <c r="G44" i="4"/>
  <c r="G42" i="4"/>
  <c r="G45" i="4" s="1"/>
  <c r="L31" i="4"/>
  <c r="B44" i="4"/>
  <c r="B43" i="4"/>
  <c r="B42" i="4"/>
  <c r="D40" i="4"/>
  <c r="D38" i="4"/>
  <c r="E44" i="4"/>
  <c r="E42" i="4"/>
  <c r="E45" i="4" s="1"/>
  <c r="K27" i="4"/>
  <c r="L30" i="4"/>
  <c r="K28" i="4"/>
  <c r="J32" i="4"/>
  <c r="H40" i="4" l="1"/>
  <c r="F49" i="4"/>
  <c r="E10" i="6" s="1"/>
  <c r="D10" i="6"/>
  <c r="K87" i="3"/>
  <c r="B45" i="4"/>
  <c r="H38" i="4"/>
  <c r="E49" i="4" s="1"/>
  <c r="L28" i="4"/>
  <c r="D42" i="4"/>
  <c r="C44" i="4"/>
  <c r="C42" i="4"/>
  <c r="H42" i="4" s="1"/>
  <c r="E50" i="4" s="1"/>
  <c r="C43" i="4"/>
  <c r="H43" i="4"/>
  <c r="D50" i="4" s="1"/>
  <c r="D11" i="6" s="1"/>
  <c r="L27" i="4"/>
  <c r="D44" i="4"/>
  <c r="K32" i="4"/>
  <c r="G49" i="4" l="1"/>
  <c r="E4" i="6" s="1"/>
  <c r="D4" i="6"/>
  <c r="K102" i="3"/>
  <c r="K101" i="3"/>
  <c r="K103" i="3"/>
  <c r="K89" i="3"/>
  <c r="K97" i="3"/>
  <c r="K90" i="3"/>
  <c r="K95" i="3"/>
  <c r="K98" i="3"/>
  <c r="K94" i="3"/>
  <c r="K100" i="3"/>
  <c r="G50" i="4"/>
  <c r="E5" i="6" s="1"/>
  <c r="D5" i="6"/>
  <c r="D6" i="6" s="1"/>
  <c r="K92" i="3"/>
  <c r="K91" i="3"/>
  <c r="K96" i="3"/>
  <c r="D12" i="6"/>
  <c r="K93" i="3"/>
  <c r="K88" i="3"/>
  <c r="K99" i="3"/>
  <c r="K43" i="3"/>
  <c r="H44" i="4"/>
  <c r="H45" i="4" s="1"/>
  <c r="L32" i="4"/>
  <c r="D51" i="4"/>
  <c r="F50" i="4"/>
  <c r="E11" i="6" s="1"/>
  <c r="C45" i="4"/>
  <c r="D45" i="4"/>
  <c r="K45" i="3" l="1"/>
  <c r="K116" i="3"/>
  <c r="K114" i="3"/>
  <c r="K67" i="3"/>
  <c r="K41" i="3"/>
  <c r="K85" i="3"/>
  <c r="K31" i="3"/>
  <c r="K82" i="3"/>
  <c r="K56" i="3"/>
  <c r="K108" i="3"/>
  <c r="K109" i="3"/>
  <c r="K104" i="3"/>
  <c r="K63" i="3"/>
  <c r="K39" i="3"/>
  <c r="K119" i="3"/>
  <c r="K50" i="3"/>
  <c r="K54" i="3"/>
  <c r="K80" i="3"/>
  <c r="K68" i="3"/>
  <c r="K73" i="3"/>
  <c r="K32" i="3"/>
  <c r="K49" i="3"/>
  <c r="K83" i="3"/>
  <c r="K46" i="3"/>
  <c r="K112" i="3"/>
  <c r="K107" i="3"/>
  <c r="K113" i="3"/>
  <c r="K33" i="3"/>
  <c r="K48" i="3"/>
  <c r="K123" i="3"/>
  <c r="K36" i="3"/>
  <c r="K66" i="3"/>
  <c r="K44" i="3"/>
  <c r="K58" i="3"/>
  <c r="K76" i="3"/>
  <c r="K64" i="3"/>
  <c r="K79" i="3"/>
  <c r="K37" i="3"/>
  <c r="K71" i="3"/>
  <c r="K34" i="3"/>
  <c r="K122" i="3"/>
  <c r="K118" i="3"/>
  <c r="K60" i="3"/>
  <c r="K24" i="3"/>
  <c r="K65" i="3"/>
  <c r="K29" i="3"/>
  <c r="K77" i="3"/>
  <c r="K27" i="3"/>
  <c r="K134" i="3" s="1"/>
  <c r="K52" i="3"/>
  <c r="K86" i="3"/>
  <c r="K25" i="3"/>
  <c r="K59" i="3"/>
  <c r="K81" i="3"/>
  <c r="K110" i="3"/>
  <c r="K106" i="3"/>
  <c r="K38" i="3"/>
  <c r="K26" i="3"/>
  <c r="K115" i="3"/>
  <c r="K75" i="3"/>
  <c r="K55" i="3"/>
  <c r="K42" i="3"/>
  <c r="K124" i="3"/>
  <c r="K53" i="3"/>
  <c r="K40" i="3"/>
  <c r="K74" i="3"/>
  <c r="K30" i="3"/>
  <c r="K47" i="3"/>
  <c r="K69" i="3"/>
  <c r="K111" i="3"/>
  <c r="K117" i="3"/>
  <c r="K72" i="3"/>
  <c r="K78" i="3"/>
  <c r="K120" i="3"/>
  <c r="K51" i="3"/>
  <c r="K70" i="3"/>
  <c r="K61" i="3"/>
  <c r="K28" i="3"/>
  <c r="K62" i="3"/>
  <c r="K84" i="3"/>
  <c r="K35" i="3"/>
  <c r="K57" i="3"/>
  <c r="K121" i="3"/>
  <c r="K105" i="3"/>
  <c r="K132" i="3"/>
  <c r="K133" i="3"/>
  <c r="K125" i="3"/>
  <c r="K130" i="3"/>
  <c r="K126" i="3"/>
  <c r="K127" i="3"/>
  <c r="K128" i="3"/>
  <c r="K129" i="3"/>
  <c r="K131" i="3"/>
  <c r="E51" i="4"/>
  <c r="K135" i="3" l="1"/>
  <c r="L135" i="3" s="1"/>
  <c r="L134" i="3"/>
  <c r="G63" i="3"/>
  <c r="G30" i="3"/>
  <c r="G73" i="3"/>
  <c r="G58" i="3"/>
  <c r="G28" i="3"/>
  <c r="G90" i="3"/>
  <c r="G91" i="3"/>
  <c r="G88" i="3"/>
  <c r="G37" i="3"/>
  <c r="G92" i="3"/>
  <c r="G45" i="3"/>
  <c r="G64" i="3"/>
  <c r="G70" i="3"/>
  <c r="G68" i="3"/>
  <c r="G31" i="3"/>
  <c r="G93" i="3"/>
  <c r="G66" i="3"/>
  <c r="G94" i="3"/>
  <c r="G49" i="3"/>
  <c r="G59" i="3"/>
  <c r="G79" i="3"/>
  <c r="G26" i="3"/>
  <c r="G32" i="3"/>
  <c r="G80" i="3"/>
  <c r="G55" i="3"/>
  <c r="G57" i="3"/>
  <c r="G51" i="3"/>
  <c r="G95" i="3"/>
  <c r="G67" i="3"/>
  <c r="G53" i="3"/>
  <c r="G96" i="3"/>
  <c r="G24" i="3"/>
  <c r="G52" i="3"/>
  <c r="G89" i="3"/>
  <c r="G62" i="3"/>
  <c r="G87" i="3"/>
  <c r="G97" i="3"/>
  <c r="G60" i="3"/>
  <c r="G98" i="3"/>
  <c r="G99" i="3"/>
  <c r="G83" i="3"/>
  <c r="G27" i="3"/>
  <c r="G40" i="3"/>
  <c r="G65" i="3"/>
  <c r="G47" i="3"/>
  <c r="G42" i="3"/>
  <c r="G48" i="3"/>
  <c r="G71" i="3"/>
  <c r="G56" i="3"/>
  <c r="G100" i="3"/>
  <c r="G101" i="3"/>
  <c r="G46" i="3"/>
  <c r="G81" i="3"/>
  <c r="G82" i="3"/>
  <c r="G35" i="3"/>
  <c r="G84" i="3"/>
  <c r="G36" i="3"/>
  <c r="G76" i="3"/>
  <c r="G72" i="3"/>
  <c r="G74" i="3"/>
  <c r="G43" i="3"/>
  <c r="G41" i="3"/>
  <c r="G25" i="3"/>
  <c r="G29" i="3"/>
  <c r="G33" i="3"/>
  <c r="G34" i="3"/>
  <c r="G50" i="3"/>
  <c r="G102" i="3"/>
  <c r="G61" i="3"/>
  <c r="G77" i="3"/>
  <c r="G85" i="3"/>
  <c r="G39" i="3"/>
  <c r="G69" i="3"/>
  <c r="G75" i="3"/>
  <c r="G78" i="3"/>
  <c r="G38" i="3"/>
  <c r="G103" i="3"/>
  <c r="G54" i="3"/>
  <c r="G86" i="3"/>
  <c r="G112" i="3"/>
  <c r="G127" i="3"/>
  <c r="G128" i="3"/>
  <c r="G129" i="3"/>
  <c r="G114" i="3"/>
  <c r="G124" i="3"/>
  <c r="G120" i="3"/>
  <c r="G115" i="3"/>
  <c r="G116" i="3"/>
  <c r="G105" i="3"/>
  <c r="G130" i="3"/>
  <c r="G125" i="3"/>
  <c r="G131" i="3"/>
  <c r="G119" i="3"/>
  <c r="G132" i="3"/>
  <c r="G133" i="3"/>
  <c r="G110" i="3"/>
  <c r="G109" i="3"/>
  <c r="G113" i="3"/>
  <c r="G123" i="3"/>
  <c r="G117" i="3"/>
  <c r="G118" i="3"/>
  <c r="G108" i="3"/>
  <c r="G122" i="3"/>
  <c r="G121" i="3"/>
  <c r="G111" i="3"/>
  <c r="G104" i="3"/>
  <c r="G107" i="3"/>
  <c r="G106" i="3"/>
  <c r="G44" i="3"/>
  <c r="K136" i="3" l="1"/>
  <c r="L136" i="3" s="1"/>
  <c r="H141" i="3"/>
  <c r="H142" i="3"/>
  <c r="G135" i="3"/>
  <c r="G134" i="3"/>
  <c r="H143" i="3" l="1"/>
  <c r="G136" i="3"/>
</calcChain>
</file>

<file path=xl/sharedStrings.xml><?xml version="1.0" encoding="utf-8"?>
<sst xmlns="http://schemas.openxmlformats.org/spreadsheetml/2006/main" count="639" uniqueCount="331">
  <si>
    <t>Total</t>
  </si>
  <si>
    <t>Cost Pool 1  
Even Across All</t>
  </si>
  <si>
    <t>Cost Pool 2  Application Split</t>
  </si>
  <si>
    <t>Cost Pool 3  
Entity Split</t>
  </si>
  <si>
    <t>Cost Pool 4  Commission Actions</t>
  </si>
  <si>
    <t>Cost Pool 5  Cardroom Only Costs</t>
  </si>
  <si>
    <t>Cost Pool 6  TPPPS Only Costs</t>
  </si>
  <si>
    <t>Total Hours</t>
  </si>
  <si>
    <t>Total Indirect Support</t>
  </si>
  <si>
    <t>Total Specific &amp; Unique Materials &amp; Supplies</t>
  </si>
  <si>
    <t>Hours</t>
  </si>
  <si>
    <t>FBHR *</t>
  </si>
  <si>
    <t>Indirect Support</t>
  </si>
  <si>
    <t>Specific &amp; Unique Materials &amp; Supplies</t>
  </si>
  <si>
    <t>California Gambling Control Commission</t>
  </si>
  <si>
    <t>(Admin) Associate Budget Analyst</t>
  </si>
  <si>
    <t>(Admin) Associate Governmental Program Analyst</t>
  </si>
  <si>
    <t>(Admin) Associate Management Auditor</t>
  </si>
  <si>
    <t>(Admin) Information Technology Manager I</t>
  </si>
  <si>
    <t>(Admin) Information Technology Specialist I</t>
  </si>
  <si>
    <t>(Admin) New BCP - Info Tech Spec</t>
  </si>
  <si>
    <t xml:space="preserve">(Admin) New BCP - Staff Mgmt Auditor </t>
  </si>
  <si>
    <t>(Admin) Office Technician</t>
  </si>
  <si>
    <t>(Admin) Staff Services Manager I (Specialist)</t>
  </si>
  <si>
    <t>(Admin) Staff Services Manager III</t>
  </si>
  <si>
    <t>(Executive) Associate Governmental Program Analyst</t>
  </si>
  <si>
    <t>(Executive) Chairperson (Commissioner)</t>
  </si>
  <si>
    <t>(Executive) Executive Director</t>
  </si>
  <si>
    <t>(Executive) Member (Commissioner)</t>
  </si>
  <si>
    <t>(Executive) Staff Services Manager I (Specialist)</t>
  </si>
  <si>
    <t>(Leg. &amp; Reg) Deputy Director, Legislation and Regulatory Affairs (CEA - Level A)</t>
  </si>
  <si>
    <t>(Leg. &amp; Reg) New BCP - Staff Services Manager I (Specialist)</t>
  </si>
  <si>
    <t>(Leg. &amp; Reg) Staff Services Manager I (Specialist)</t>
  </si>
  <si>
    <t>(Legal) Attorney III</t>
  </si>
  <si>
    <t>(Legal) Chief Counsel (CEA - Level C)</t>
  </si>
  <si>
    <t>(Legal) Senior Legal Analyst</t>
  </si>
  <si>
    <t>(Licensing) Associate Governmental Program Analyst</t>
  </si>
  <si>
    <t>(Licensing) Deputy Director, Licensing (CEA - Level A)</t>
  </si>
  <si>
    <t>(Licensing) New BCP - Staff Services Manager I (Supervisor)</t>
  </si>
  <si>
    <t>(Licensing) Office Technician (G)</t>
  </si>
  <si>
    <t xml:space="preserve">(Licensing) Staff Services Manager I </t>
  </si>
  <si>
    <t>Cardroom Operating Expenditures</t>
  </si>
  <si>
    <t>Temp Allotment vs Actual Adjustment</t>
  </si>
  <si>
    <t xml:space="preserve">Admin Temp Help (IT Specialist I) </t>
  </si>
  <si>
    <t xml:space="preserve">Total GCF (Cardroom) Allotment Savings </t>
  </si>
  <si>
    <t xml:space="preserve">Admin Temp Help (IT Associate) </t>
  </si>
  <si>
    <t xml:space="preserve">Licensing Temp Help (Seasonal Clerk) </t>
  </si>
  <si>
    <t>California Gambling Control Commission Total</t>
  </si>
  <si>
    <t>Bureau of Gambling Control</t>
  </si>
  <si>
    <t>Assistant Bureau Chief</t>
  </si>
  <si>
    <t>Associate Governmental Program Analyst</t>
  </si>
  <si>
    <t>Associate Governmental Program Analyst/Staff Services Analyst  (Game unit)</t>
  </si>
  <si>
    <t>Auditors</t>
  </si>
  <si>
    <t>C.E.A.</t>
  </si>
  <si>
    <t>Crime Analyst</t>
  </si>
  <si>
    <t>Deputy Attorney General III</t>
  </si>
  <si>
    <t>Deputy Attorney General IV</t>
  </si>
  <si>
    <t>Field Representative DOJ</t>
  </si>
  <si>
    <t>Investigative Auditor IV Supervisor/DOJ (includes Associate Management Auditor)</t>
  </si>
  <si>
    <t>Office Technician</t>
  </si>
  <si>
    <t>Program Technician II</t>
  </si>
  <si>
    <t>Senior Management Auditor</t>
  </si>
  <si>
    <t>Special Agent (includes Trainee)</t>
  </si>
  <si>
    <t>Special Agent in Charge</t>
  </si>
  <si>
    <t>Special Agent Supervisor</t>
  </si>
  <si>
    <t>Staff Services Analyst</t>
  </si>
  <si>
    <t>Staff Services Manager</t>
  </si>
  <si>
    <t>Staff Services Manager I</t>
  </si>
  <si>
    <t>Staff Services Manager II/Supervisor</t>
  </si>
  <si>
    <t>Supervising Management Auditor</t>
  </si>
  <si>
    <t>IGLS expense</t>
  </si>
  <si>
    <t>Office of the Chief expense</t>
  </si>
  <si>
    <t>Cardroom Operating  Expenditures</t>
  </si>
  <si>
    <t>Cardroom Overtime</t>
  </si>
  <si>
    <t xml:space="preserve">Cardroom Overtime Reimbursement </t>
  </si>
  <si>
    <t>Cardroom Savings for Temp help</t>
  </si>
  <si>
    <t>Prorata and Pension Costs</t>
  </si>
  <si>
    <t xml:space="preserve">IGLS GCF Allotment Savings </t>
  </si>
  <si>
    <t xml:space="preserve">Office of the Chief GCF Allotment Savings </t>
  </si>
  <si>
    <t xml:space="preserve">Admin Support - Temp Help Season Clerk </t>
  </si>
  <si>
    <t xml:space="preserve">Licensing Intake - Temp Help Student Asst. Cardroom </t>
  </si>
  <si>
    <t xml:space="preserve">Licensing  Game Review - Temp Help Student Asst. Cardroom </t>
  </si>
  <si>
    <t>C&amp;E North Sac Temp Help (RA Special Agent)</t>
  </si>
  <si>
    <t xml:space="preserve">GCF Savings Allotment </t>
  </si>
  <si>
    <t>Bureau of Gambling Control Total</t>
  </si>
  <si>
    <t>Grand Total</t>
  </si>
  <si>
    <t>* FBHR - Fully Burdened Hourly Rate is the full hourly rate of an employee for the actual hours worked. This includes salaries and benefits.</t>
  </si>
  <si>
    <t>Cost Pool Categories</t>
  </si>
  <si>
    <r>
      <rPr>
        <b/>
        <sz val="11"/>
        <color theme="1"/>
        <rFont val="Calibri"/>
        <family val="2"/>
        <scheme val="minor"/>
      </rPr>
      <t>Cost Pool 1</t>
    </r>
    <r>
      <rPr>
        <sz val="11"/>
        <color theme="1"/>
        <rFont val="Calibri"/>
        <family val="2"/>
        <scheme val="minor"/>
      </rPr>
      <t xml:space="preserve"> – Also known as “Even Across All” is a cost allocation for all non-application costs that are not directly attributed to an application fee or deposit, and allocated as a cost to all TPPPS business licensees and cardroom business licensees equally. This includes all costs associated with, but may not be limited to, administration, information technology, and legislative and regulatory workload. This describes the portion of the Commission and Bureau’s operational costs, as well as other costs that are not linked to the payment of a fee or deposit such as the review of an application. These costs are related to the Commission and Bureau’s general work related to the oversight of the controlled gambling industry. </t>
    </r>
  </si>
  <si>
    <r>
      <rPr>
        <b/>
        <sz val="11"/>
        <color theme="1"/>
        <rFont val="Calibri"/>
        <family val="2"/>
        <scheme val="minor"/>
      </rPr>
      <t>Cost Pool 2</t>
    </r>
    <r>
      <rPr>
        <sz val="11"/>
        <color theme="1"/>
        <rFont val="Calibri"/>
        <family val="2"/>
        <scheme val="minor"/>
      </rPr>
      <t xml:space="preserve"> – Also known as “Application Split” is a cost allocation for all non-application costs on a per-application basis that relate to both TPPPS business licensees and cardroom business licensees that have a direct connection to the processing of applications for the controlled gambling industry, and are not directly attributed to an application fee or deposit. This includes such costs associated with, but may not be limited to, responding to general phone calls, and the processing of electronic and regular mail. This describes costs generally associated with the processing of applications, but cannot be directly linked to the fee or deposit associated with the review of an application. </t>
    </r>
  </si>
  <si>
    <r>
      <rPr>
        <b/>
        <sz val="11"/>
        <color theme="1"/>
        <rFont val="Calibri"/>
        <family val="2"/>
        <scheme val="minor"/>
      </rPr>
      <t xml:space="preserve">Cost Pool 3 </t>
    </r>
    <r>
      <rPr>
        <sz val="11"/>
        <color theme="1"/>
        <rFont val="Calibri"/>
        <family val="2"/>
        <scheme val="minor"/>
      </rPr>
      <t xml:space="preserve">– Also known as “Entity Split” is a cost allocation for all non-application costs generated by non-Commission actions that relate to both TPPPS business licensees and cardroom business licensees. This includes costs associated with, but may not be limited to, compliance and enforcement, financial audits, calls for service, and incident reports born separately amongst TPPPS business licensees and cardroom business licensees. </t>
    </r>
  </si>
  <si>
    <r>
      <rPr>
        <b/>
        <sz val="11"/>
        <color theme="1"/>
        <rFont val="Calibri"/>
        <family val="2"/>
        <scheme val="minor"/>
      </rPr>
      <t xml:space="preserve">Cost Pool 4 </t>
    </r>
    <r>
      <rPr>
        <sz val="11"/>
        <color theme="1"/>
        <rFont val="Calibri"/>
        <family val="2"/>
        <scheme val="minor"/>
      </rPr>
      <t xml:space="preserve">– Also known as “Commission Actions” is a cost allocation for all non-application costs generated by matters requiring Commission action that relates to TPPPS business licensees or cardroom business licensees. This includes such costs associated with, but may not be limited to, administrative hearings and decisions, and Commission meetings. </t>
    </r>
  </si>
  <si>
    <r>
      <rPr>
        <b/>
        <sz val="11"/>
        <color theme="1"/>
        <rFont val="Calibri"/>
        <family val="2"/>
        <scheme val="minor"/>
      </rPr>
      <t xml:space="preserve">Cost Pool 5 </t>
    </r>
    <r>
      <rPr>
        <sz val="11"/>
        <color theme="1"/>
        <rFont val="Calibri"/>
        <family val="2"/>
        <scheme val="minor"/>
      </rPr>
      <t xml:space="preserve">– Also known as “Cardroom Only” is a cost allocation for all non-application costs that are specific to cardroom business licensees but not directly linked to a Commission approval, such as, but may not limited to, compliance reviews of games, reviews of reports, and local ordinance reviews. </t>
    </r>
  </si>
  <si>
    <r>
      <rPr>
        <b/>
        <sz val="11"/>
        <color theme="1"/>
        <rFont val="Calibri"/>
        <family val="2"/>
        <scheme val="minor"/>
      </rPr>
      <t>Cost Pool 6</t>
    </r>
    <r>
      <rPr>
        <sz val="11"/>
        <color theme="1"/>
        <rFont val="Calibri"/>
        <family val="2"/>
        <scheme val="minor"/>
      </rPr>
      <t xml:space="preserve"> – Also known as “TPPPS Only” is a cost allocation for all non-application costs that are specific to TPPPS business licensees but not directly linked to a Commission approval, such as, but may not be limited to, contract renewal notices and non-investigation industry inquiries or correspondence. </t>
    </r>
  </si>
  <si>
    <t>(A)</t>
  </si>
  <si>
    <t>(B)</t>
  </si>
  <si>
    <t>(C)</t>
  </si>
  <si>
    <t>(D)</t>
  </si>
  <si>
    <t>(E)</t>
  </si>
  <si>
    <t>(F)</t>
  </si>
  <si>
    <t>(G)</t>
  </si>
  <si>
    <t>(H)</t>
  </si>
  <si>
    <t>Cost Pool</t>
  </si>
  <si>
    <t>Cost Pool Name</t>
  </si>
  <si>
    <t>Description of Methodology</t>
  </si>
  <si>
    <t>Total Amount to Allocate</t>
  </si>
  <si>
    <t># of Active Cardrooms, Average Applications, &amp; Commission Actions</t>
  </si>
  <si>
    <t># of Active TPPPS Average Applications, &amp; Commission Actions</t>
  </si>
  <si>
    <t>% of Total Allocate Charged to Cardroom</t>
  </si>
  <si>
    <t>% of Total Allocate Charged to TPPPS</t>
  </si>
  <si>
    <t>Cardroom Amount</t>
  </si>
  <si>
    <t>TPPPS Amount</t>
  </si>
  <si>
    <t>(A x D)</t>
  </si>
  <si>
    <t>(A x C)</t>
  </si>
  <si>
    <t>(F + G)</t>
  </si>
  <si>
    <t>Cost Pool 1</t>
  </si>
  <si>
    <t>Even Across All</t>
  </si>
  <si>
    <r>
      <t xml:space="preserve">Even cost to Cardroom and TPPPS, Active and Non-Op. </t>
    </r>
    <r>
      <rPr>
        <i/>
        <sz val="9"/>
        <color theme="1"/>
        <rFont val="Calibri"/>
        <family val="2"/>
        <scheme val="minor"/>
      </rPr>
      <t>Split evenly 50/50</t>
    </r>
  </si>
  <si>
    <t>Cost Pool 2</t>
  </si>
  <si>
    <t>Application Split</t>
  </si>
  <si>
    <r>
      <t>Workload based on average # of applications.</t>
    </r>
    <r>
      <rPr>
        <i/>
        <sz val="11"/>
        <color theme="1"/>
        <rFont val="Calibri"/>
        <family val="2"/>
        <scheme val="minor"/>
      </rPr>
      <t xml:space="preserve"> </t>
    </r>
    <r>
      <rPr>
        <i/>
        <sz val="9"/>
        <color theme="1"/>
        <rFont val="Calibri"/>
        <family val="2"/>
        <scheme val="minor"/>
      </rPr>
      <t>(B or C / Total of B+C to arrive at % in D or E)</t>
    </r>
  </si>
  <si>
    <t>Cost Pool 3</t>
  </si>
  <si>
    <t>Entity Split</t>
  </si>
  <si>
    <r>
      <t xml:space="preserve">Workload based on # of Entities  </t>
    </r>
    <r>
      <rPr>
        <i/>
        <sz val="9"/>
        <color theme="1"/>
        <rFont val="Calibri"/>
        <family val="2"/>
        <scheme val="minor"/>
      </rPr>
      <t>(B or C / Total of B+C to arrive at % in D or E)</t>
    </r>
  </si>
  <si>
    <t>Cost Pool 4</t>
  </si>
  <si>
    <t>Commission Actions</t>
  </si>
  <si>
    <r>
      <t xml:space="preserve">Workload based on # of Commission Actions.   </t>
    </r>
    <r>
      <rPr>
        <i/>
        <sz val="9"/>
        <color theme="1"/>
        <rFont val="Calibri"/>
        <family val="2"/>
        <scheme val="minor"/>
      </rPr>
      <t xml:space="preserve">(B or C / Total of B+C to arrive at % in D or E)         </t>
    </r>
  </si>
  <si>
    <t>Cost Pool 5</t>
  </si>
  <si>
    <t>Cardroom Only Costs</t>
  </si>
  <si>
    <t>Allocate to Active and Non-Op evenly.</t>
  </si>
  <si>
    <t>Cost Pool 6</t>
  </si>
  <si>
    <t>TPPPS Only Costs</t>
  </si>
  <si>
    <t>TOTAL</t>
  </si>
  <si>
    <t>(I)</t>
  </si>
  <si>
    <t>(J)</t>
  </si>
  <si>
    <t>(K)</t>
  </si>
  <si>
    <t>(L)</t>
  </si>
  <si>
    <t>(M)</t>
  </si>
  <si>
    <t>(N)</t>
  </si>
  <si>
    <t>(O)</t>
  </si>
  <si>
    <t>Entity Type</t>
  </si>
  <si>
    <t>All Cost Pools</t>
  </si>
  <si>
    <t>(I + J + K + L + M + N)</t>
  </si>
  <si>
    <r>
      <t>Cardroom</t>
    </r>
    <r>
      <rPr>
        <i/>
        <sz val="9"/>
        <color theme="1"/>
        <rFont val="Calibri"/>
        <family val="2"/>
        <scheme val="minor"/>
      </rPr>
      <t xml:space="preserve"> (From column G)</t>
    </r>
  </si>
  <si>
    <r>
      <t>TPPPS</t>
    </r>
    <r>
      <rPr>
        <i/>
        <sz val="9"/>
        <color theme="1"/>
        <rFont val="Calibri"/>
        <family val="2"/>
        <scheme val="minor"/>
      </rPr>
      <t xml:space="preserve"> (From column H)</t>
    </r>
  </si>
  <si>
    <t>(P)</t>
  </si>
  <si>
    <t>(Q)</t>
  </si>
  <si>
    <t># of Entities Non-Op</t>
  </si>
  <si>
    <t>Cardroom</t>
  </si>
  <si>
    <t>TPPPS</t>
  </si>
  <si>
    <t>MOCK DATA</t>
  </si>
  <si>
    <t>ENTITY</t>
  </si>
  <si>
    <t>Cardroom 1</t>
  </si>
  <si>
    <t>Cardroom 2</t>
  </si>
  <si>
    <t>Cardroom 3</t>
  </si>
  <si>
    <t>Cardroom 4</t>
  </si>
  <si>
    <t>Cardroom 5</t>
  </si>
  <si>
    <t>Cardroom 6</t>
  </si>
  <si>
    <t>Cardroom 7</t>
  </si>
  <si>
    <t>Cardroom 8</t>
  </si>
  <si>
    <t>Cardroom 9</t>
  </si>
  <si>
    <t>Cardroom 10</t>
  </si>
  <si>
    <t>Cardroom 11</t>
  </si>
  <si>
    <t>Cardroom 12</t>
  </si>
  <si>
    <t>Cardroom 13</t>
  </si>
  <si>
    <t>Cardroom 14</t>
  </si>
  <si>
    <t>Cardroom 15</t>
  </si>
  <si>
    <t>Cardroom 16</t>
  </si>
  <si>
    <t>Cardroom 17</t>
  </si>
  <si>
    <t>Cardroom 18</t>
  </si>
  <si>
    <t>Cardroom 19</t>
  </si>
  <si>
    <t>Cardroom 20</t>
  </si>
  <si>
    <t>Cardroom 21</t>
  </si>
  <si>
    <t>Cardroom 22</t>
  </si>
  <si>
    <t>Cardroom 23</t>
  </si>
  <si>
    <t>Cardroom 24</t>
  </si>
  <si>
    <t>Cardroom 25</t>
  </si>
  <si>
    <t>Cardroom 26</t>
  </si>
  <si>
    <t>Cardroom 27</t>
  </si>
  <si>
    <t>Cardroom 28</t>
  </si>
  <si>
    <t>Cardroom 29</t>
  </si>
  <si>
    <t>Cardroom 30</t>
  </si>
  <si>
    <t>Cardroom 31</t>
  </si>
  <si>
    <t>Cardroom 32</t>
  </si>
  <si>
    <t>Cardroom 33</t>
  </si>
  <si>
    <t>Cardroom 34</t>
  </si>
  <si>
    <t>Cardroom 35</t>
  </si>
  <si>
    <t>Cardroom 36</t>
  </si>
  <si>
    <t>Cardroom 37</t>
  </si>
  <si>
    <t>Cardroom 38</t>
  </si>
  <si>
    <t>Cardroom 39</t>
  </si>
  <si>
    <t>Cardroom 40</t>
  </si>
  <si>
    <t>Cardroom 41</t>
  </si>
  <si>
    <t>Cardroom 42</t>
  </si>
  <si>
    <t>Cardroom 43</t>
  </si>
  <si>
    <t>Cardroom 44</t>
  </si>
  <si>
    <t>Cardroom 45</t>
  </si>
  <si>
    <t>Cardroom 46</t>
  </si>
  <si>
    <t>Cardroom 47</t>
  </si>
  <si>
    <t>Cardroom 48</t>
  </si>
  <si>
    <t>Cardroom 49</t>
  </si>
  <si>
    <t>Cardroom 50</t>
  </si>
  <si>
    <t>Cardroom 51</t>
  </si>
  <si>
    <t>Cardroom 52</t>
  </si>
  <si>
    <t>Cardroom 53</t>
  </si>
  <si>
    <t>Cardroom 54</t>
  </si>
  <si>
    <t>Cardroom 55</t>
  </si>
  <si>
    <t>Cardroom 56</t>
  </si>
  <si>
    <t>Cardroom 57</t>
  </si>
  <si>
    <t>Cardroom 58</t>
  </si>
  <si>
    <t>Cardroom 59</t>
  </si>
  <si>
    <t>Cardroom 60</t>
  </si>
  <si>
    <t>Cardroom 61</t>
  </si>
  <si>
    <t>Cardroom 62</t>
  </si>
  <si>
    <t>Cardroom 63</t>
  </si>
  <si>
    <t>Cardroom 64</t>
  </si>
  <si>
    <t>Cardroom 65</t>
  </si>
  <si>
    <t>Cardroom 66</t>
  </si>
  <si>
    <t>Cardroom 67</t>
  </si>
  <si>
    <t>Cardroom 68</t>
  </si>
  <si>
    <t>Cardroom 69</t>
  </si>
  <si>
    <t>Cardroom 70</t>
  </si>
  <si>
    <t>Cardroom 71</t>
  </si>
  <si>
    <t>Cardroom 72</t>
  </si>
  <si>
    <t>Cardroom 73</t>
  </si>
  <si>
    <t>Cardroom 74</t>
  </si>
  <si>
    <t>Cardroom 75</t>
  </si>
  <si>
    <t>Cardroom 76</t>
  </si>
  <si>
    <t>Cardroom 77</t>
  </si>
  <si>
    <t>Cardroom 78</t>
  </si>
  <si>
    <t>Cardroom 79</t>
  </si>
  <si>
    <t>Cardroom 80</t>
  </si>
  <si>
    <t>TPPPS 1</t>
  </si>
  <si>
    <t>TPPPS 2</t>
  </si>
  <si>
    <t>TPPPS 3</t>
  </si>
  <si>
    <t>TPPPS 4</t>
  </si>
  <si>
    <t>TPPPS 5</t>
  </si>
  <si>
    <t>TPPPS 6</t>
  </si>
  <si>
    <t>TPPPS 7</t>
  </si>
  <si>
    <t>TPPPS 8</t>
  </si>
  <si>
    <t>TPPPS 9</t>
  </si>
  <si>
    <t>TPPPS 10</t>
  </si>
  <si>
    <t>TPPPS 11</t>
  </si>
  <si>
    <t>TPPPS 12</t>
  </si>
  <si>
    <t>TPPPS 13</t>
  </si>
  <si>
    <t>TPPPS 14</t>
  </si>
  <si>
    <t>TPPPS 15</t>
  </si>
  <si>
    <t>TPPPS 16</t>
  </si>
  <si>
    <t>TPPPS 17</t>
  </si>
  <si>
    <t>TPPPS 18</t>
  </si>
  <si>
    <t>TPPPS 19</t>
  </si>
  <si>
    <t>TPPPS 20</t>
  </si>
  <si>
    <t>TPPPS 21</t>
  </si>
  <si>
    <t>TPPPS 22</t>
  </si>
  <si>
    <t>TPPPS 23</t>
  </si>
  <si>
    <t>TPPPS 24</t>
  </si>
  <si>
    <t>TPPPS 25</t>
  </si>
  <si>
    <t>TPPPS 26</t>
  </si>
  <si>
    <t>TPPPS 27</t>
  </si>
  <si>
    <t>TPPPS 28</t>
  </si>
  <si>
    <t>TPPPS 29</t>
  </si>
  <si>
    <t>TPPPS 30</t>
  </si>
  <si>
    <t>CATEGORY</t>
  </si>
  <si>
    <t>Non-Op</t>
  </si>
  <si>
    <t>INDUSTRY</t>
  </si>
  <si>
    <t>TOTALS</t>
  </si>
  <si>
    <t>CARDROOM TOTALS</t>
  </si>
  <si>
    <t>TPPPS TOTALS</t>
  </si>
  <si>
    <t>COMBINED TOTALS</t>
  </si>
  <si>
    <t>TABLE COUNT</t>
  </si>
  <si>
    <t>TOTAL STAFF</t>
  </si>
  <si>
    <t>-</t>
  </si>
  <si>
    <t>CARDROOMS</t>
  </si>
  <si>
    <t>3-YR AVG. COMMISSION ACTIONS</t>
  </si>
  <si>
    <t>3-YR AVG APPLICATIONS SUBMITTED</t>
  </si>
  <si>
    <t>ENTITY COUNTS</t>
  </si>
  <si>
    <t>NON-OPS</t>
  </si>
  <si>
    <t>ACTIVE UNDER</t>
  </si>
  <si>
    <t>ACTIVE OVER</t>
  </si>
  <si>
    <t>FY 2019-20 REVENUE</t>
  </si>
  <si>
    <t>FY 2020-21 REVENUE</t>
  </si>
  <si>
    <t>FY 2021-22 REVENUE</t>
  </si>
  <si>
    <t>3-YR AVERAGE REVENUE</t>
  </si>
  <si>
    <t>COST POOL 1</t>
  </si>
  <si>
    <t>COST POOL 2</t>
  </si>
  <si>
    <t>COST POOL 3</t>
  </si>
  <si>
    <t>COST POOL 4</t>
  </si>
  <si>
    <t>COST POOL 5</t>
  </si>
  <si>
    <t>COST POOL 6</t>
  </si>
  <si>
    <r>
      <rPr>
        <b/>
        <sz val="12"/>
        <color rgb="FFFF0000"/>
        <rFont val="Calibri"/>
        <family val="2"/>
        <scheme val="minor"/>
      </rPr>
      <t>MOCK</t>
    </r>
    <r>
      <rPr>
        <b/>
        <sz val="12"/>
        <color theme="1"/>
        <rFont val="Calibri"/>
        <family val="2"/>
        <scheme val="minor"/>
      </rPr>
      <t xml:space="preserve"> ANNUAL FEE                                       </t>
    </r>
    <r>
      <rPr>
        <b/>
        <sz val="11"/>
        <color theme="1"/>
        <rFont val="Calibri"/>
        <family val="2"/>
        <scheme val="minor"/>
      </rPr>
      <t>(AMOUNT THAT NEEDS RECOVERED)</t>
    </r>
  </si>
  <si>
    <r>
      <t xml:space="preserve">TOTAL </t>
    </r>
    <r>
      <rPr>
        <b/>
        <sz val="11"/>
        <color rgb="FFFF0000"/>
        <rFont val="Calibri"/>
        <family val="2"/>
        <scheme val="minor"/>
      </rPr>
      <t>"MOCK"</t>
    </r>
    <r>
      <rPr>
        <b/>
        <sz val="11"/>
        <color theme="1"/>
        <rFont val="Calibri"/>
        <family val="2"/>
        <scheme val="minor"/>
      </rPr>
      <t xml:space="preserve"> ANNUAL FEE:</t>
    </r>
  </si>
  <si>
    <t>* Please note that all costs associated with the Bureau's application in-take and the Commission's review, analysis and preparing of a Bureau's Report are captured in the "Application" direct fee.  All of the Application costs are NOT included in the Annual Fee.  Once a Bureau Report is scheduled for a public Commission Licensing meeting, all additional costs (i.e., Commission meetings briefings, Commission Licensing meetings, evidentiary hearings, etc.) associated with processing the Bureau Report are considered to be non-application costs and are captured within the Annual Fee.</t>
  </si>
  <si>
    <r>
      <t xml:space="preserve">ADDITIONAL </t>
    </r>
    <r>
      <rPr>
        <b/>
        <sz val="11"/>
        <color rgb="FFFF0000"/>
        <rFont val="Calibri"/>
        <family val="2"/>
        <scheme val="minor"/>
      </rPr>
      <t>MOCK</t>
    </r>
    <r>
      <rPr>
        <b/>
        <sz val="11"/>
        <color theme="1"/>
        <rFont val="Calibri"/>
        <family val="2"/>
        <scheme val="minor"/>
      </rPr>
      <t xml:space="preserve"> DATA:</t>
    </r>
  </si>
  <si>
    <t>SEE MOCK DATA FOR THESE ANNUAL FEE TOTAL FIGURES ON NEXT TAB</t>
  </si>
  <si>
    <t>Total FBHR Costs</t>
  </si>
  <si>
    <t>(see Annual Fee Detail Tab)</t>
  </si>
  <si>
    <t>TOTAL 3-YR AVERAGE OF ACTIVE OVER</t>
  </si>
  <si>
    <t>Active</t>
  </si>
  <si>
    <t>Active Cardroom</t>
  </si>
  <si>
    <t>Non-Op Cardroom</t>
  </si>
  <si>
    <t>Active TPPPS</t>
  </si>
  <si>
    <t>Non-Op TPPPS</t>
  </si>
  <si>
    <t>(BB)</t>
  </si>
  <si>
    <t># of Active Tables (Cardrooms) or  Licenses (TPPPS)</t>
  </si>
  <si>
    <t>Total Annual Fee Cost per Industry (Sum of Cost Pools) - Non-Op</t>
  </si>
  <si>
    <t>Total Annual Fee Cost per Industry
(Sum of Cost Pools) - Active</t>
  </si>
  <si>
    <t>Cost per Table (Cardrooms) or Licenses (TPPPS) - Active</t>
  </si>
  <si>
    <t>Base Cost for Non-Ops</t>
  </si>
  <si>
    <t xml:space="preserve">Non-Op Tables (Cardrooms) and Non-Op Employees (TPPPS) </t>
  </si>
  <si>
    <t>Active Tables (Cardrooms) and Active Employees (TPPPS)</t>
  </si>
  <si>
    <t>Percentage of Active Tables (Cardrooms) and Employees (TPPPS)</t>
  </si>
  <si>
    <t>Percentage of Non-Op Tables (Cardrooms) and Employees (TPPPS)</t>
  </si>
  <si>
    <t>Allocation Percentage for Active versus Non-Op Entities</t>
  </si>
  <si>
    <t xml:space="preserve">(F*BB) </t>
  </si>
  <si>
    <t xml:space="preserve">(G*BB) </t>
  </si>
  <si>
    <t>100% Allocation to Active Entities</t>
  </si>
  <si>
    <t>Annual Fee per Proposed Methodology</t>
  </si>
  <si>
    <t>Per "Mock Data" Tab</t>
  </si>
  <si>
    <t>(O/P)</t>
  </si>
  <si>
    <t>(O/Q)</t>
  </si>
  <si>
    <t># of Non-Operating Entities</t>
  </si>
  <si>
    <t>Annual Fee for Non-Operating Entities</t>
  </si>
  <si>
    <t>Annual Fee for Active Entities per Table (Cardrooms) or Licenses (TPPPS)</t>
  </si>
  <si>
    <t>A</t>
  </si>
  <si>
    <t>B</t>
  </si>
  <si>
    <t>C</t>
  </si>
  <si>
    <t>D</t>
  </si>
  <si>
    <t>Annual Fee Cost Allocated to Non-Operating Entities</t>
  </si>
  <si>
    <t>Annual Fee Cost Allocated to Active Entities</t>
  </si>
  <si>
    <t>B/A</t>
  </si>
  <si>
    <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</si>
</sst>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0;[Red]#,##0"/>
    <numFmt numFmtId="166" formatCode="&quot;$&quot;#,##0.00"/>
    <numFmt numFmtId="167" formatCode="_(* #,##0_);_(* \(#,##0\);_(* &quot;-&quot;??_);_(@_)"/>
    <numFmt numFmtId="168"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9"/>
      <color theme="1"/>
      <name val="Calibri"/>
      <family val="2"/>
      <scheme val="minor"/>
    </font>
    <font>
      <i/>
      <sz val="9"/>
      <color theme="1"/>
      <name val="Calibri"/>
      <family val="2"/>
      <scheme val="minor"/>
    </font>
    <font>
      <i/>
      <sz val="11"/>
      <color theme="1"/>
      <name val="Calibri"/>
      <family val="2"/>
      <scheme val="minor"/>
    </font>
    <font>
      <sz val="10"/>
      <name val="Arial"/>
      <family val="2"/>
    </font>
    <font>
      <sz val="11"/>
      <name val="Calibri"/>
      <family val="2"/>
      <scheme val="minor"/>
    </font>
    <font>
      <b/>
      <sz val="11"/>
      <color rgb="FFFF0000"/>
      <name val="Calibri"/>
      <family val="2"/>
      <scheme val="minor"/>
    </font>
    <font>
      <b/>
      <sz val="16"/>
      <color rgb="FFFF0000"/>
      <name val="Calibri"/>
      <family val="2"/>
      <scheme val="minor"/>
    </font>
    <font>
      <b/>
      <i/>
      <sz val="11"/>
      <color theme="1"/>
      <name val="Calibri"/>
      <family val="2"/>
      <scheme val="minor"/>
    </font>
    <font>
      <b/>
      <sz val="12"/>
      <color rgb="FFFF0000"/>
      <name val="Calibri"/>
      <family val="2"/>
      <scheme val="minor"/>
    </font>
    <font>
      <b/>
      <sz val="20"/>
      <color rgb="FFFF000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s>
  <borders count="83">
    <border>
      <left/>
      <right/>
      <top/>
      <bottom/>
      <diagonal/>
    </border>
    <border>
      <left style="thick">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indexed="64"/>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medium">
        <color indexed="64"/>
      </top>
      <bottom/>
      <diagonal/>
    </border>
    <border>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bottom style="medium">
        <color auto="1"/>
      </bottom>
      <diagonal/>
    </border>
    <border>
      <left/>
      <right/>
      <top/>
      <bottom style="medium">
        <color indexed="64"/>
      </bottom>
      <diagonal/>
    </border>
    <border>
      <left/>
      <right style="thick">
        <color indexed="64"/>
      </right>
      <top/>
      <bottom style="medium">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right style="thick">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auto="1"/>
      </top>
      <bottom style="hair">
        <color auto="1"/>
      </bottom>
      <diagonal/>
    </border>
    <border>
      <left/>
      <right style="medium">
        <color indexed="64"/>
      </right>
      <top style="medium">
        <color indexed="64"/>
      </top>
      <bottom style="hair">
        <color indexed="64"/>
      </bottom>
      <diagonal/>
    </border>
    <border>
      <left style="medium">
        <color indexed="64"/>
      </left>
      <right/>
      <top style="hair">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auto="1"/>
      </right>
      <top style="thin">
        <color indexed="64"/>
      </top>
      <bottom style="medium">
        <color indexed="64"/>
      </bottom>
      <diagonal/>
    </border>
    <border>
      <left/>
      <right style="medium">
        <color auto="1"/>
      </right>
      <top style="thin">
        <color auto="1"/>
      </top>
      <bottom style="thin">
        <color auto="1"/>
      </bottom>
      <diagonal/>
    </border>
    <border>
      <left style="thick">
        <color indexed="64"/>
      </left>
      <right/>
      <top/>
      <bottom/>
      <diagonal/>
    </border>
    <border>
      <left style="thick">
        <color indexed="64"/>
      </left>
      <right/>
      <top style="medium">
        <color auto="1"/>
      </top>
      <bottom style="medium">
        <color auto="1"/>
      </bottom>
      <diagonal/>
    </border>
    <border>
      <left style="thick">
        <color indexed="64"/>
      </left>
      <right style="thin">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3" fontId="1" fillId="0" borderId="0" applyFont="0" applyFill="0" applyBorder="0" applyAlignment="0" applyProtection="0"/>
  </cellStyleXfs>
  <cellXfs count="293">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xf>
    <xf numFmtId="0" fontId="0" fillId="0" borderId="0" xfId="0" applyFill="1"/>
    <xf numFmtId="0" fontId="0" fillId="0" borderId="0" xfId="0" applyAlignment="1">
      <alignment vertical="center"/>
    </xf>
    <xf numFmtId="0" fontId="2" fillId="0" borderId="0" xfId="0" applyFont="1"/>
    <xf numFmtId="0" fontId="0" fillId="0" borderId="0" xfId="0" applyAlignment="1">
      <alignment horizontal="center"/>
    </xf>
    <xf numFmtId="0" fontId="3" fillId="0" borderId="0" xfId="0" applyFont="1"/>
    <xf numFmtId="0" fontId="0" fillId="0" borderId="37" xfId="0" applyBorder="1"/>
    <xf numFmtId="0" fontId="0" fillId="0" borderId="6" xfId="0" applyBorder="1"/>
    <xf numFmtId="0" fontId="2" fillId="0" borderId="37" xfId="0" applyFont="1" applyBorder="1" applyAlignment="1">
      <alignment horizontal="center"/>
    </xf>
    <xf numFmtId="0" fontId="2" fillId="0" borderId="5" xfId="0" applyFont="1" applyBorder="1" applyAlignment="1">
      <alignment horizontal="center"/>
    </xf>
    <xf numFmtId="0" fontId="2" fillId="0" borderId="38" xfId="0" applyFont="1" applyBorder="1" applyAlignment="1">
      <alignment horizontal="center"/>
    </xf>
    <xf numFmtId="0" fontId="2" fillId="0" borderId="2" xfId="0" applyFont="1" applyBorder="1" applyAlignment="1">
      <alignment horizontal="center"/>
    </xf>
    <xf numFmtId="0" fontId="2" fillId="0" borderId="39" xfId="0" applyFont="1" applyBorder="1" applyAlignment="1">
      <alignment horizontal="center"/>
    </xf>
    <xf numFmtId="0" fontId="2" fillId="0" borderId="19" xfId="0" applyFont="1" applyBorder="1"/>
    <xf numFmtId="0" fontId="2" fillId="0" borderId="0" xfId="0" applyFont="1" applyBorder="1"/>
    <xf numFmtId="0" fontId="2" fillId="0" borderId="2" xfId="0" applyFont="1" applyBorder="1"/>
    <xf numFmtId="0" fontId="2" fillId="0" borderId="4" xfId="0" applyFont="1" applyBorder="1"/>
    <xf numFmtId="0" fontId="2" fillId="0" borderId="3" xfId="0" applyFont="1" applyBorder="1"/>
    <xf numFmtId="0" fontId="4" fillId="0" borderId="16" xfId="0" applyFont="1" applyBorder="1" applyAlignment="1">
      <alignment horizontal="center"/>
    </xf>
    <xf numFmtId="0" fontId="4" fillId="0" borderId="20" xfId="0" applyFont="1" applyBorder="1" applyAlignment="1">
      <alignment horizontal="center"/>
    </xf>
    <xf numFmtId="0" fontId="0" fillId="0" borderId="40" xfId="0" applyBorder="1" applyAlignment="1">
      <alignment vertical="center"/>
    </xf>
    <xf numFmtId="0" fontId="0" fillId="0" borderId="41" xfId="0" applyBorder="1" applyAlignment="1">
      <alignment vertical="center" wrapText="1"/>
    </xf>
    <xf numFmtId="164" fontId="0" fillId="0" borderId="44" xfId="0" applyNumberFormat="1" applyFill="1" applyBorder="1" applyAlignment="1">
      <alignment horizontal="center" vertical="center"/>
    </xf>
    <xf numFmtId="9" fontId="0" fillId="0" borderId="40" xfId="0" applyNumberFormat="1" applyFill="1" applyBorder="1" applyAlignment="1">
      <alignment horizontal="center" vertical="center"/>
    </xf>
    <xf numFmtId="9" fontId="0" fillId="0" borderId="46" xfId="0" applyNumberFormat="1" applyFill="1" applyBorder="1" applyAlignment="1">
      <alignment horizontal="center" vertical="center"/>
    </xf>
    <xf numFmtId="164" fontId="0" fillId="0" borderId="44" xfId="0" applyNumberFormat="1" applyBorder="1" applyAlignment="1">
      <alignment horizontal="center" vertical="center"/>
    </xf>
    <xf numFmtId="164" fontId="0" fillId="0" borderId="43" xfId="0" applyNumberForma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wrapText="1"/>
    </xf>
    <xf numFmtId="164" fontId="0" fillId="0" borderId="27" xfId="0" applyNumberFormat="1" applyFill="1" applyBorder="1" applyAlignment="1">
      <alignment horizontal="center" vertical="center"/>
    </xf>
    <xf numFmtId="3" fontId="0" fillId="0" borderId="47" xfId="0" applyNumberFormat="1" applyFill="1" applyBorder="1" applyAlignment="1">
      <alignment horizontal="center" vertical="center"/>
    </xf>
    <xf numFmtId="3" fontId="0" fillId="0" borderId="25" xfId="0" applyNumberFormat="1" applyFill="1" applyBorder="1" applyAlignment="1">
      <alignment horizontal="center" vertical="center"/>
    </xf>
    <xf numFmtId="9" fontId="0" fillId="0" borderId="23" xfId="0" applyNumberFormat="1" applyFill="1" applyBorder="1" applyAlignment="1">
      <alignment horizontal="center" vertical="center"/>
    </xf>
    <xf numFmtId="9" fontId="0" fillId="0" borderId="25" xfId="0" applyNumberFormat="1" applyFill="1" applyBorder="1" applyAlignment="1">
      <alignment horizontal="center" vertical="center"/>
    </xf>
    <xf numFmtId="164" fontId="0" fillId="0" borderId="27" xfId="0" applyNumberFormat="1" applyBorder="1" applyAlignment="1">
      <alignment horizontal="center" vertical="center"/>
    </xf>
    <xf numFmtId="164" fontId="0" fillId="0" borderId="28" xfId="0" applyNumberFormat="1" applyBorder="1" applyAlignment="1">
      <alignment horizontal="center" vertical="center"/>
    </xf>
    <xf numFmtId="0" fontId="0" fillId="0" borderId="48" xfId="0" applyBorder="1" applyAlignment="1">
      <alignment vertical="center"/>
    </xf>
    <xf numFmtId="0" fontId="0" fillId="0" borderId="49" xfId="0" applyBorder="1" applyAlignment="1">
      <alignment vertical="center" wrapText="1"/>
    </xf>
    <xf numFmtId="164" fontId="0" fillId="0" borderId="52" xfId="0" applyNumberFormat="1" applyFill="1" applyBorder="1" applyAlignment="1">
      <alignment horizontal="center" vertical="center"/>
    </xf>
    <xf numFmtId="3" fontId="0" fillId="0" borderId="53" xfId="0" applyNumberFormat="1" applyFill="1" applyBorder="1" applyAlignment="1">
      <alignment horizontal="center" vertical="center"/>
    </xf>
    <xf numFmtId="3" fontId="0" fillId="0" borderId="54" xfId="0" applyNumberFormat="1" applyFill="1" applyBorder="1" applyAlignment="1">
      <alignment horizontal="center" vertical="center"/>
    </xf>
    <xf numFmtId="9" fontId="0" fillId="0" borderId="48" xfId="0" applyNumberFormat="1" applyFill="1" applyBorder="1" applyAlignment="1">
      <alignment horizontal="center" vertical="center"/>
    </xf>
    <xf numFmtId="9" fontId="0" fillId="0" borderId="54" xfId="0" applyNumberFormat="1" applyFill="1" applyBorder="1" applyAlignment="1">
      <alignment horizontal="center" vertical="center"/>
    </xf>
    <xf numFmtId="164" fontId="0" fillId="0" borderId="52" xfId="0" applyNumberFormat="1" applyBorder="1" applyAlignment="1">
      <alignment horizontal="center" vertical="center"/>
    </xf>
    <xf numFmtId="164" fontId="0" fillId="0" borderId="51" xfId="0" applyNumberFormat="1" applyBorder="1" applyAlignment="1">
      <alignment horizontal="center" vertical="center"/>
    </xf>
    <xf numFmtId="0" fontId="2" fillId="0" borderId="55" xfId="0" applyFont="1" applyFill="1" applyBorder="1"/>
    <xf numFmtId="0" fontId="0" fillId="0" borderId="3" xfId="0" applyBorder="1"/>
    <xf numFmtId="164" fontId="2" fillId="0" borderId="38" xfId="0" applyNumberFormat="1" applyFont="1" applyBorder="1" applyAlignment="1">
      <alignment horizontal="center"/>
    </xf>
    <xf numFmtId="0" fontId="0" fillId="0" borderId="4" xfId="0" applyBorder="1"/>
    <xf numFmtId="0" fontId="0" fillId="0" borderId="2" xfId="0" applyBorder="1"/>
    <xf numFmtId="164" fontId="2" fillId="0" borderId="3" xfId="0" applyNumberFormat="1" applyFont="1" applyBorder="1" applyAlignment="1">
      <alignment horizontal="center"/>
    </xf>
    <xf numFmtId="0" fontId="2" fillId="0" borderId="0" xfId="0" applyFont="1" applyAlignment="1">
      <alignment horizontal="center"/>
    </xf>
    <xf numFmtId="0" fontId="2" fillId="0" borderId="19" xfId="0" applyFont="1" applyBorder="1" applyAlignment="1">
      <alignment horizontal="center"/>
    </xf>
    <xf numFmtId="0" fontId="0" fillId="0" borderId="58" xfId="0" applyBorder="1"/>
    <xf numFmtId="0" fontId="0" fillId="0" borderId="60" xfId="0" applyBorder="1"/>
    <xf numFmtId="0" fontId="2" fillId="0" borderId="56" xfId="0" applyFont="1" applyBorder="1" applyAlignment="1">
      <alignment horizontal="right"/>
    </xf>
    <xf numFmtId="164" fontId="2" fillId="0" borderId="16" xfId="0" applyNumberFormat="1" applyFont="1" applyBorder="1" applyAlignment="1">
      <alignment horizontal="center"/>
    </xf>
    <xf numFmtId="0" fontId="4" fillId="0" borderId="38" xfId="0" applyFont="1" applyBorder="1" applyAlignment="1">
      <alignment horizontal="center"/>
    </xf>
    <xf numFmtId="0" fontId="0" fillId="0" borderId="44" xfId="0" applyBorder="1"/>
    <xf numFmtId="165" fontId="0" fillId="0" borderId="46" xfId="0" applyNumberFormat="1" applyBorder="1" applyAlignment="1">
      <alignment horizontal="center"/>
    </xf>
    <xf numFmtId="0" fontId="0" fillId="0" borderId="52" xfId="0" applyBorder="1"/>
    <xf numFmtId="165" fontId="0" fillId="0" borderId="54" xfId="0" applyNumberFormat="1" applyBorder="1" applyAlignment="1">
      <alignment horizontal="center"/>
    </xf>
    <xf numFmtId="0" fontId="2" fillId="0" borderId="16" xfId="0" applyFont="1" applyBorder="1" applyAlignment="1">
      <alignment horizontal="right"/>
    </xf>
    <xf numFmtId="166" fontId="0" fillId="0" borderId="17" xfId="0" applyNumberFormat="1" applyBorder="1"/>
    <xf numFmtId="166" fontId="0" fillId="0" borderId="57" xfId="0" applyNumberFormat="1" applyBorder="1" applyAlignment="1">
      <alignment horizontal="center"/>
    </xf>
    <xf numFmtId="0" fontId="4" fillId="0" borderId="21" xfId="0" applyFont="1" applyBorder="1" applyAlignment="1">
      <alignment horizontal="center" vertical="center" wrapText="1"/>
    </xf>
    <xf numFmtId="6" fontId="0" fillId="0" borderId="0" xfId="0" applyNumberFormat="1" applyBorder="1" applyAlignment="1">
      <alignment horizontal="center" vertical="center"/>
    </xf>
    <xf numFmtId="6" fontId="0" fillId="0" borderId="0" xfId="0" applyNumberFormat="1" applyBorder="1" applyAlignment="1">
      <alignment horizontal="center"/>
    </xf>
    <xf numFmtId="0" fontId="6" fillId="0" borderId="0" xfId="0" applyFont="1" applyBorder="1"/>
    <xf numFmtId="38" fontId="0" fillId="0" borderId="0" xfId="0" applyNumberFormat="1" applyBorder="1" applyAlignment="1">
      <alignment horizontal="center" vertical="center"/>
    </xf>
    <xf numFmtId="6" fontId="0" fillId="0" borderId="30" xfId="0" applyNumberFormat="1" applyBorder="1" applyAlignment="1">
      <alignment horizontal="center"/>
    </xf>
    <xf numFmtId="38" fontId="0" fillId="0" borderId="30" xfId="0" applyNumberFormat="1" applyBorder="1" applyAlignment="1">
      <alignment horizontal="center" vertical="center"/>
    </xf>
    <xf numFmtId="0" fontId="0" fillId="0" borderId="30" xfId="0" applyBorder="1" applyAlignment="1">
      <alignment horizontal="center"/>
    </xf>
    <xf numFmtId="6" fontId="8" fillId="0" borderId="30" xfId="3" applyNumberFormat="1" applyFont="1" applyFill="1" applyBorder="1" applyAlignment="1">
      <alignment horizontal="center" vertical="center" wrapText="1"/>
    </xf>
    <xf numFmtId="6" fontId="0" fillId="0" borderId="30" xfId="1" applyNumberFormat="1" applyFont="1" applyFill="1" applyBorder="1" applyAlignment="1">
      <alignment horizontal="center" vertical="center"/>
    </xf>
    <xf numFmtId="6" fontId="8" fillId="0" borderId="30" xfId="0" applyNumberFormat="1" applyFont="1" applyFill="1" applyBorder="1" applyAlignment="1">
      <alignment horizontal="center" vertical="center" wrapText="1"/>
    </xf>
    <xf numFmtId="6" fontId="8" fillId="0" borderId="30" xfId="3" quotePrefix="1" applyNumberFormat="1" applyFont="1" applyFill="1" applyBorder="1" applyAlignment="1">
      <alignment horizontal="center" vertical="center" wrapText="1"/>
    </xf>
    <xf numFmtId="6" fontId="1" fillId="0" borderId="30" xfId="1" applyNumberFormat="1" applyFont="1" applyFill="1" applyBorder="1" applyAlignment="1">
      <alignment horizontal="center" vertical="center"/>
    </xf>
    <xf numFmtId="38" fontId="0" fillId="0" borderId="30" xfId="0" quotePrefix="1" applyNumberFormat="1" applyBorder="1" applyAlignment="1">
      <alignment horizontal="center" vertical="center"/>
    </xf>
    <xf numFmtId="6" fontId="8" fillId="0" borderId="30" xfId="1" applyNumberFormat="1" applyFont="1" applyFill="1" applyBorder="1" applyAlignment="1">
      <alignment horizontal="center" vertical="center"/>
    </xf>
    <xf numFmtId="6" fontId="1" fillId="0" borderId="30" xfId="0" applyNumberFormat="1" applyFont="1" applyFill="1" applyBorder="1" applyAlignment="1">
      <alignment horizontal="center" vertical="center"/>
    </xf>
    <xf numFmtId="0" fontId="0" fillId="0" borderId="67" xfId="0" applyBorder="1" applyAlignment="1">
      <alignment horizontal="center"/>
    </xf>
    <xf numFmtId="6" fontId="1" fillId="0" borderId="67" xfId="1" applyNumberFormat="1" applyFont="1" applyFill="1" applyBorder="1" applyAlignment="1">
      <alignment horizontal="center" vertical="center"/>
    </xf>
    <xf numFmtId="6" fontId="1" fillId="0" borderId="67" xfId="0" applyNumberFormat="1" applyFont="1" applyFill="1" applyBorder="1" applyAlignment="1">
      <alignment horizontal="center" vertical="center"/>
    </xf>
    <xf numFmtId="6" fontId="0" fillId="0" borderId="67" xfId="0" applyNumberFormat="1" applyBorder="1" applyAlignment="1">
      <alignment horizontal="center"/>
    </xf>
    <xf numFmtId="38" fontId="0" fillId="0" borderId="67" xfId="0" quotePrefix="1" applyNumberFormat="1" applyBorder="1" applyAlignment="1">
      <alignment horizontal="center" vertical="center"/>
    </xf>
    <xf numFmtId="0" fontId="0" fillId="0" borderId="29" xfId="0" applyBorder="1"/>
    <xf numFmtId="0" fontId="0" fillId="0" borderId="29" xfId="0" applyFill="1" applyBorder="1"/>
    <xf numFmtId="0" fontId="0" fillId="0" borderId="68" xfId="0" applyFill="1" applyBorder="1"/>
    <xf numFmtId="38" fontId="0" fillId="0" borderId="45" xfId="0" applyNumberFormat="1" applyFill="1" applyBorder="1" applyAlignment="1">
      <alignment horizontal="center" vertical="center"/>
    </xf>
    <xf numFmtId="38" fontId="0" fillId="0" borderId="46" xfId="0" applyNumberFormat="1" applyFill="1" applyBorder="1" applyAlignment="1">
      <alignment horizontal="center" vertical="center"/>
    </xf>
    <xf numFmtId="38" fontId="0" fillId="0" borderId="31" xfId="0" applyNumberFormat="1" applyFont="1" applyBorder="1" applyAlignment="1">
      <alignment horizontal="center"/>
    </xf>
    <xf numFmtId="38" fontId="0" fillId="0" borderId="69" xfId="0" applyNumberFormat="1" applyFont="1" applyBorder="1" applyAlignment="1">
      <alignment horizontal="center"/>
    </xf>
    <xf numFmtId="38" fontId="0" fillId="0" borderId="0" xfId="0" applyNumberFormat="1" applyFont="1" applyBorder="1" applyAlignment="1">
      <alignment horizontal="center"/>
    </xf>
    <xf numFmtId="6" fontId="0" fillId="0" borderId="31" xfId="0" applyNumberFormat="1" applyBorder="1" applyAlignment="1">
      <alignment horizontal="center"/>
    </xf>
    <xf numFmtId="6" fontId="0" fillId="0" borderId="72" xfId="0" applyNumberFormat="1" applyBorder="1" applyAlignment="1">
      <alignment horizontal="center"/>
    </xf>
    <xf numFmtId="0" fontId="0" fillId="0" borderId="70" xfId="0" applyBorder="1"/>
    <xf numFmtId="0" fontId="0" fillId="0" borderId="71" xfId="0" applyBorder="1" applyAlignment="1">
      <alignment horizontal="center"/>
    </xf>
    <xf numFmtId="6" fontId="8" fillId="0" borderId="71" xfId="3" applyNumberFormat="1" applyFont="1" applyFill="1" applyBorder="1" applyAlignment="1">
      <alignment horizontal="center" vertical="center" wrapText="1"/>
    </xf>
    <xf numFmtId="6" fontId="0" fillId="0" borderId="71" xfId="0" applyNumberFormat="1" applyBorder="1" applyAlignment="1">
      <alignment horizontal="center"/>
    </xf>
    <xf numFmtId="38" fontId="8" fillId="0" borderId="71" xfId="3" applyNumberFormat="1" applyFont="1" applyFill="1" applyBorder="1" applyAlignment="1">
      <alignment horizontal="center" vertical="center"/>
    </xf>
    <xf numFmtId="38" fontId="0" fillId="0" borderId="72" xfId="0" applyNumberFormat="1" applyFont="1" applyBorder="1" applyAlignment="1">
      <alignment horizontal="center"/>
    </xf>
    <xf numFmtId="0" fontId="0" fillId="2" borderId="71" xfId="0" applyFill="1" applyBorder="1" applyAlignment="1">
      <alignment horizontal="center"/>
    </xf>
    <xf numFmtId="0" fontId="0" fillId="0" borderId="19" xfId="0" applyBorder="1"/>
    <xf numFmtId="0" fontId="0" fillId="2" borderId="19" xfId="0" applyFill="1" applyBorder="1"/>
    <xf numFmtId="10" fontId="2" fillId="2" borderId="21" xfId="2" applyNumberFormat="1" applyFont="1" applyFill="1" applyBorder="1" applyAlignment="1">
      <alignment horizontal="center"/>
    </xf>
    <xf numFmtId="10" fontId="2" fillId="2" borderId="5" xfId="2" applyNumberFormat="1" applyFont="1" applyFill="1" applyBorder="1" applyAlignment="1">
      <alignment horizontal="center"/>
    </xf>
    <xf numFmtId="10" fontId="2" fillId="2" borderId="16" xfId="2" applyNumberFormat="1" applyFont="1" applyFill="1" applyBorder="1" applyAlignment="1">
      <alignment horizontal="center"/>
    </xf>
    <xf numFmtId="0" fontId="4" fillId="2" borderId="38" xfId="0" applyFont="1" applyFill="1" applyBorder="1" applyAlignment="1">
      <alignment horizontal="center"/>
    </xf>
    <xf numFmtId="164" fontId="2" fillId="2" borderId="38" xfId="0" applyNumberFormat="1" applyFont="1" applyFill="1" applyBorder="1" applyAlignment="1">
      <alignment horizontal="center"/>
    </xf>
    <xf numFmtId="165" fontId="0" fillId="2" borderId="40" xfId="0" applyNumberFormat="1" applyFill="1" applyBorder="1" applyAlignment="1">
      <alignment horizontal="center"/>
    </xf>
    <xf numFmtId="165" fontId="0" fillId="2" borderId="48" xfId="0" applyNumberFormat="1" applyFill="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6" fontId="2" fillId="4" borderId="31" xfId="0" applyNumberFormat="1" applyFont="1" applyFill="1" applyBorder="1" applyAlignment="1">
      <alignment horizontal="center" vertical="center" wrapText="1"/>
    </xf>
    <xf numFmtId="43" fontId="0" fillId="0" borderId="0" xfId="4" applyFont="1" applyBorder="1"/>
    <xf numFmtId="38" fontId="2" fillId="4" borderId="36" xfId="0" applyNumberFormat="1" applyFont="1" applyFill="1" applyBorder="1" applyAlignment="1">
      <alignment horizontal="center" vertical="center" wrapText="1"/>
    </xf>
    <xf numFmtId="168" fontId="6" fillId="4" borderId="82" xfId="0" applyNumberFormat="1" applyFont="1" applyFill="1" applyBorder="1"/>
    <xf numFmtId="168" fontId="6" fillId="4" borderId="0" xfId="0" applyNumberFormat="1" applyFont="1" applyFill="1" applyBorder="1"/>
    <xf numFmtId="168" fontId="2" fillId="4" borderId="81" xfId="0" applyNumberFormat="1" applyFont="1" applyFill="1" applyBorder="1"/>
    <xf numFmtId="168" fontId="0" fillId="2" borderId="0" xfId="1" applyNumberFormat="1" applyFont="1" applyFill="1" applyBorder="1"/>
    <xf numFmtId="167" fontId="0" fillId="2" borderId="0" xfId="4" applyNumberFormat="1" applyFont="1" applyFill="1" applyBorder="1"/>
    <xf numFmtId="3" fontId="0" fillId="2" borderId="0" xfId="0" applyNumberFormat="1" applyFill="1" applyBorder="1"/>
    <xf numFmtId="43" fontId="6" fillId="0" borderId="0" xfId="4" applyFont="1" applyBorder="1"/>
    <xf numFmtId="43" fontId="1" fillId="0" borderId="0" xfId="4" applyFont="1" applyBorder="1"/>
    <xf numFmtId="0" fontId="2" fillId="5" borderId="38" xfId="0" applyFont="1" applyFill="1" applyBorder="1" applyAlignment="1">
      <alignment horizontal="center" vertical="center" wrapText="1"/>
    </xf>
    <xf numFmtId="0" fontId="4" fillId="5" borderId="38" xfId="0" applyFont="1" applyFill="1" applyBorder="1" applyAlignment="1">
      <alignment horizontal="center"/>
    </xf>
    <xf numFmtId="0" fontId="2" fillId="0" borderId="38" xfId="0" applyFont="1" applyFill="1" applyBorder="1" applyAlignment="1">
      <alignment horizontal="center" vertical="center" wrapText="1"/>
    </xf>
    <xf numFmtId="0" fontId="2" fillId="0" borderId="3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Fill="1" applyAlignment="1">
      <alignment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77" xfId="0" applyFill="1" applyBorder="1" applyAlignment="1">
      <alignment horizontal="left"/>
    </xf>
    <xf numFmtId="4" fontId="0" fillId="0" borderId="37" xfId="0" applyNumberFormat="1" applyFill="1" applyBorder="1"/>
    <xf numFmtId="164" fontId="0" fillId="0" borderId="6" xfId="0" applyNumberFormat="1" applyFill="1" applyBorder="1"/>
    <xf numFmtId="5" fontId="0" fillId="0" borderId="6" xfId="0" applyNumberFormat="1" applyFill="1" applyBorder="1"/>
    <xf numFmtId="5" fontId="0" fillId="0" borderId="39" xfId="0" applyNumberFormat="1" applyFill="1" applyBorder="1"/>
    <xf numFmtId="4" fontId="0" fillId="0" borderId="6" xfId="0" applyNumberFormat="1" applyFill="1" applyBorder="1"/>
    <xf numFmtId="4" fontId="0" fillId="0" borderId="5" xfId="0" applyNumberFormat="1" applyFill="1" applyBorder="1"/>
    <xf numFmtId="6" fontId="0" fillId="0" borderId="39" xfId="0" applyNumberFormat="1" applyFill="1" applyBorder="1"/>
    <xf numFmtId="5" fontId="0" fillId="0" borderId="7" xfId="0" applyNumberFormat="1" applyFill="1" applyBorder="1"/>
    <xf numFmtId="0" fontId="0" fillId="0" borderId="79" xfId="0" applyFill="1" applyBorder="1" applyAlignment="1">
      <alignment horizontal="left" indent="1"/>
    </xf>
    <xf numFmtId="4" fontId="0" fillId="0" borderId="19" xfId="0" applyNumberFormat="1" applyFill="1" applyBorder="1"/>
    <xf numFmtId="164" fontId="0" fillId="0" borderId="0" xfId="0" applyNumberFormat="1" applyFill="1" applyBorder="1"/>
    <xf numFmtId="5" fontId="0" fillId="0" borderId="0" xfId="0" applyNumberFormat="1" applyFill="1" applyBorder="1"/>
    <xf numFmtId="5" fontId="0" fillId="0" borderId="20" xfId="0" applyNumberFormat="1" applyFill="1" applyBorder="1"/>
    <xf numFmtId="4" fontId="0" fillId="0" borderId="0" xfId="0" applyNumberFormat="1" applyFill="1" applyBorder="1"/>
    <xf numFmtId="4" fontId="0" fillId="0" borderId="21" xfId="0" applyNumberFormat="1" applyFill="1" applyBorder="1"/>
    <xf numFmtId="6" fontId="0" fillId="0" borderId="20" xfId="0" applyNumberFormat="1" applyFill="1" applyBorder="1"/>
    <xf numFmtId="5" fontId="0" fillId="0" borderId="22" xfId="0" applyNumberFormat="1" applyFill="1" applyBorder="1"/>
    <xf numFmtId="0" fontId="0" fillId="0" borderId="76" xfId="0" applyFill="1" applyBorder="1" applyAlignment="1">
      <alignment horizontal="left" indent="1"/>
    </xf>
    <xf numFmtId="0" fontId="0" fillId="0" borderId="80" xfId="0" applyFill="1" applyBorder="1" applyAlignment="1">
      <alignment horizontal="left" indent="1"/>
    </xf>
    <xf numFmtId="0" fontId="0" fillId="0" borderId="78" xfId="0" applyFill="1" applyBorder="1" applyAlignment="1">
      <alignment horizontal="left"/>
    </xf>
    <xf numFmtId="4" fontId="0" fillId="0" borderId="29" xfId="0" applyNumberFormat="1" applyFill="1" applyBorder="1"/>
    <xf numFmtId="164" fontId="0" fillId="0" borderId="30" xfId="0" applyNumberFormat="1" applyFill="1" applyBorder="1"/>
    <xf numFmtId="5" fontId="0" fillId="0" borderId="30" xfId="0" applyNumberFormat="1" applyFill="1" applyBorder="1"/>
    <xf numFmtId="5" fontId="0" fillId="0" borderId="31" xfId="0" applyNumberFormat="1" applyFill="1" applyBorder="1"/>
    <xf numFmtId="4" fontId="0" fillId="0" borderId="32" xfId="0" applyNumberFormat="1" applyFill="1" applyBorder="1"/>
    <xf numFmtId="6" fontId="0" fillId="0" borderId="32" xfId="0" applyNumberFormat="1" applyFill="1" applyBorder="1"/>
    <xf numFmtId="5" fontId="0" fillId="0" borderId="75" xfId="0" applyNumberFormat="1" applyFill="1" applyBorder="1"/>
    <xf numFmtId="5" fontId="0" fillId="0" borderId="33" xfId="0" applyNumberFormat="1" applyFill="1" applyBorder="1"/>
    <xf numFmtId="4" fontId="0" fillId="0" borderId="30" xfId="0" applyNumberFormat="1" applyFill="1" applyBorder="1"/>
    <xf numFmtId="6" fontId="0" fillId="0" borderId="75" xfId="0" applyNumberFormat="1" applyFill="1" applyBorder="1"/>
    <xf numFmtId="4" fontId="0" fillId="0" borderId="10" xfId="0" applyNumberFormat="1" applyFill="1" applyBorder="1"/>
    <xf numFmtId="164" fontId="0" fillId="0" borderId="10" xfId="0" applyNumberFormat="1" applyFill="1" applyBorder="1"/>
    <xf numFmtId="5" fontId="0" fillId="0" borderId="10" xfId="0" applyNumberFormat="1" applyFill="1" applyBorder="1"/>
    <xf numFmtId="5" fontId="0" fillId="0" borderId="11" xfId="0" applyNumberFormat="1" applyFill="1" applyBorder="1"/>
    <xf numFmtId="4" fontId="0" fillId="0" borderId="16" xfId="0" applyNumberFormat="1" applyFill="1" applyBorder="1"/>
    <xf numFmtId="6" fontId="0" fillId="0" borderId="16" xfId="0" applyNumberFormat="1" applyFill="1" applyBorder="1"/>
    <xf numFmtId="5" fontId="0" fillId="0" borderId="18" xfId="0" applyNumberFormat="1" applyFill="1" applyBorder="1"/>
    <xf numFmtId="5" fontId="0" fillId="0" borderId="0" xfId="0" applyNumberFormat="1" applyFill="1"/>
    <xf numFmtId="0" fontId="0" fillId="0" borderId="0" xfId="0" applyFill="1" applyBorder="1"/>
    <xf numFmtId="0" fontId="2" fillId="0" borderId="0" xfId="0" applyFont="1" applyFill="1"/>
    <xf numFmtId="0" fontId="0" fillId="0" borderId="0" xfId="0" applyFill="1" applyAlignment="1">
      <alignment horizontal="left" wrapText="1"/>
    </xf>
    <xf numFmtId="6" fontId="0" fillId="0" borderId="0" xfId="0" applyNumberFormat="1" applyFill="1"/>
    <xf numFmtId="6" fontId="2" fillId="0" borderId="36" xfId="0" applyNumberFormat="1" applyFont="1" applyFill="1" applyBorder="1" applyAlignment="1">
      <alignment horizontal="center"/>
    </xf>
    <xf numFmtId="0" fontId="2" fillId="0" borderId="29" xfId="0" applyFont="1" applyFill="1" applyBorder="1"/>
    <xf numFmtId="0" fontId="2" fillId="0" borderId="30" xfId="0" applyFont="1" applyFill="1" applyBorder="1" applyAlignment="1">
      <alignment horizontal="center" wrapText="1"/>
    </xf>
    <xf numFmtId="6" fontId="2" fillId="0" borderId="30" xfId="0" applyNumberFormat="1" applyFont="1" applyFill="1" applyBorder="1" applyAlignment="1">
      <alignment horizontal="center" vertical="center" wrapText="1"/>
    </xf>
    <xf numFmtId="6" fontId="2" fillId="0" borderId="30" xfId="0" applyNumberFormat="1" applyFont="1" applyFill="1" applyBorder="1" applyAlignment="1">
      <alignment horizontal="center" vertical="center"/>
    </xf>
    <xf numFmtId="6" fontId="2" fillId="0" borderId="31" xfId="0" applyNumberFormat="1" applyFont="1" applyFill="1" applyBorder="1" applyAlignment="1">
      <alignment horizontal="center" vertical="center" wrapText="1"/>
    </xf>
    <xf numFmtId="0" fontId="2" fillId="0" borderId="29" xfId="0" applyFont="1" applyFill="1" applyBorder="1" applyAlignment="1"/>
    <xf numFmtId="38" fontId="0" fillId="0" borderId="30" xfId="0" applyNumberFormat="1" applyFont="1" applyFill="1" applyBorder="1" applyAlignment="1">
      <alignment horizontal="center"/>
    </xf>
    <xf numFmtId="6" fontId="0" fillId="0" borderId="31" xfId="0" applyNumberFormat="1" applyFont="1" applyFill="1" applyBorder="1" applyAlignment="1">
      <alignment horizontal="center"/>
    </xf>
    <xf numFmtId="0" fontId="2" fillId="0" borderId="34" xfId="0" applyFont="1" applyFill="1" applyBorder="1" applyAlignment="1">
      <alignment horizontal="right"/>
    </xf>
    <xf numFmtId="38" fontId="2" fillId="0" borderId="35" xfId="0" applyNumberFormat="1" applyFont="1" applyFill="1" applyBorder="1" applyAlignment="1">
      <alignment horizontal="center"/>
    </xf>
    <xf numFmtId="6" fontId="6" fillId="0" borderId="62" xfId="0" applyNumberFormat="1" applyFont="1" applyFill="1" applyBorder="1" applyAlignment="1">
      <alignment horizontal="center" vertical="center"/>
    </xf>
    <xf numFmtId="38" fontId="6" fillId="0" borderId="62" xfId="0" applyNumberFormat="1" applyFont="1" applyFill="1" applyBorder="1" applyAlignment="1">
      <alignment horizontal="center" vertical="center"/>
    </xf>
    <xf numFmtId="38" fontId="6" fillId="0" borderId="63" xfId="0" applyNumberFormat="1" applyFont="1" applyFill="1" applyBorder="1" applyAlignment="1">
      <alignment horizontal="center" vertical="center"/>
    </xf>
    <xf numFmtId="6" fontId="6" fillId="0" borderId="30" xfId="0" applyNumberFormat="1" applyFont="1" applyFill="1" applyBorder="1" applyAlignment="1">
      <alignment horizontal="center" vertical="center"/>
    </xf>
    <xf numFmtId="38" fontId="6" fillId="0" borderId="30" xfId="0" applyNumberFormat="1" applyFont="1" applyFill="1" applyBorder="1" applyAlignment="1">
      <alignment horizontal="center" vertical="center"/>
    </xf>
    <xf numFmtId="38" fontId="6" fillId="0" borderId="31" xfId="0" applyNumberFormat="1" applyFont="1" applyFill="1" applyBorder="1" applyAlignment="1">
      <alignment horizontal="center" vertical="center"/>
    </xf>
    <xf numFmtId="6" fontId="2" fillId="0" borderId="35" xfId="0" applyNumberFormat="1" applyFont="1" applyFill="1" applyBorder="1" applyAlignment="1">
      <alignment horizontal="center" vertical="center"/>
    </xf>
    <xf numFmtId="38" fontId="2" fillId="0" borderId="35" xfId="0" applyNumberFormat="1" applyFont="1" applyFill="1" applyBorder="1" applyAlignment="1">
      <alignment horizontal="center" vertical="center"/>
    </xf>
    <xf numFmtId="38" fontId="2" fillId="0" borderId="36" xfId="0" applyNumberFormat="1" applyFont="1" applyFill="1" applyBorder="1" applyAlignment="1">
      <alignment horizontal="center" vertical="center"/>
    </xf>
    <xf numFmtId="0" fontId="2" fillId="0" borderId="34" xfId="0" applyFont="1" applyFill="1" applyBorder="1" applyAlignment="1">
      <alignment vertical="center"/>
    </xf>
    <xf numFmtId="0" fontId="2" fillId="0" borderId="35" xfId="0" applyFont="1" applyFill="1" applyBorder="1" applyAlignment="1">
      <alignment horizontal="center" vertical="center"/>
    </xf>
    <xf numFmtId="6" fontId="2" fillId="0" borderId="35" xfId="0" applyNumberFormat="1" applyFont="1" applyFill="1" applyBorder="1" applyAlignment="1">
      <alignment horizontal="center" vertical="center" wrapText="1"/>
    </xf>
    <xf numFmtId="168" fontId="0" fillId="2" borderId="44" xfId="1" applyNumberFormat="1" applyFont="1" applyFill="1" applyBorder="1" applyAlignment="1">
      <alignment horizontal="center"/>
    </xf>
    <xf numFmtId="168" fontId="0" fillId="2" borderId="52" xfId="1" applyNumberFormat="1" applyFont="1" applyFill="1" applyBorder="1" applyAlignment="1">
      <alignment horizontal="center"/>
    </xf>
    <xf numFmtId="168" fontId="2" fillId="5" borderId="38" xfId="1" applyNumberFormat="1" applyFont="1" applyFill="1" applyBorder="1" applyAlignment="1">
      <alignment horizontal="center"/>
    </xf>
    <xf numFmtId="168" fontId="0" fillId="2" borderId="21" xfId="1" applyNumberFormat="1" applyFont="1" applyFill="1" applyBorder="1" applyAlignment="1">
      <alignment horizontal="center"/>
    </xf>
    <xf numFmtId="167" fontId="0" fillId="2" borderId="21" xfId="4" applyNumberFormat="1" applyFont="1" applyFill="1" applyBorder="1" applyAlignment="1">
      <alignment horizontal="center"/>
    </xf>
    <xf numFmtId="168" fontId="0" fillId="0" borderId="44" xfId="1" applyNumberFormat="1" applyFont="1" applyBorder="1" applyAlignment="1">
      <alignment horizontal="center"/>
    </xf>
    <xf numFmtId="168" fontId="2" fillId="0" borderId="59" xfId="1" applyNumberFormat="1" applyFont="1" applyBorder="1" applyAlignment="1">
      <alignment horizontal="center"/>
    </xf>
    <xf numFmtId="168" fontId="2" fillId="0" borderId="16" xfId="1" applyNumberFormat="1" applyFont="1" applyBorder="1" applyAlignment="1">
      <alignment horizontal="center"/>
    </xf>
    <xf numFmtId="168" fontId="2" fillId="0" borderId="57" xfId="1" applyNumberFormat="1" applyFont="1" applyBorder="1" applyAlignment="1">
      <alignment horizontal="center"/>
    </xf>
    <xf numFmtId="0" fontId="0" fillId="2" borderId="19" xfId="0" applyFont="1" applyFill="1" applyBorder="1" applyAlignment="1">
      <alignment horizontal="left"/>
    </xf>
    <xf numFmtId="168" fontId="0" fillId="0" borderId="46" xfId="1" applyNumberFormat="1" applyFont="1" applyBorder="1" applyAlignment="1">
      <alignment horizontal="center"/>
    </xf>
    <xf numFmtId="168" fontId="0" fillId="0" borderId="54" xfId="1" applyNumberFormat="1" applyFont="1" applyBorder="1" applyAlignment="1">
      <alignment horizontal="center"/>
    </xf>
    <xf numFmtId="168" fontId="0" fillId="0" borderId="46" xfId="1" applyNumberFormat="1" applyFont="1" applyFill="1" applyBorder="1" applyAlignment="1">
      <alignment horizontal="center"/>
    </xf>
    <xf numFmtId="168" fontId="0" fillId="0" borderId="54" xfId="1" applyNumberFormat="1" applyFont="1" applyFill="1" applyBorder="1" applyAlignment="1">
      <alignment horizontal="center"/>
    </xf>
    <xf numFmtId="168" fontId="2" fillId="0" borderId="38" xfId="1" applyNumberFormat="1" applyFont="1" applyFill="1" applyBorder="1" applyAlignment="1">
      <alignment horizontal="center"/>
    </xf>
    <xf numFmtId="0" fontId="2" fillId="4" borderId="38" xfId="0" applyFont="1" applyFill="1" applyBorder="1" applyAlignment="1">
      <alignment horizontal="center" vertical="center"/>
    </xf>
    <xf numFmtId="0" fontId="2" fillId="4" borderId="38" xfId="0" applyFont="1" applyFill="1" applyBorder="1" applyAlignment="1">
      <alignment horizontal="center" vertical="center" wrapText="1"/>
    </xf>
    <xf numFmtId="0" fontId="2" fillId="2" borderId="5" xfId="0" applyFont="1" applyFill="1" applyBorder="1" applyAlignment="1">
      <alignment horizontal="center" vertical="center"/>
    </xf>
    <xf numFmtId="0" fontId="6" fillId="2" borderId="39" xfId="0" applyFont="1" applyFill="1" applyBorder="1" applyAlignment="1">
      <alignment horizontal="center" vertical="center" wrapText="1"/>
    </xf>
    <xf numFmtId="44" fontId="0" fillId="0" borderId="0" xfId="0" applyNumberFormat="1"/>
    <xf numFmtId="38" fontId="0" fillId="2" borderId="30" xfId="0" applyNumberFormat="1" applyFont="1" applyFill="1" applyBorder="1" applyAlignment="1">
      <alignment horizontal="center"/>
    </xf>
    <xf numFmtId="10" fontId="0" fillId="2" borderId="30" xfId="2" applyNumberFormat="1" applyFont="1" applyFill="1" applyBorder="1" applyAlignment="1">
      <alignment horizontal="center"/>
    </xf>
    <xf numFmtId="0" fontId="2" fillId="0" borderId="73" xfId="0" applyFont="1" applyFill="1" applyBorder="1" applyAlignment="1">
      <alignment horizontal="center"/>
    </xf>
    <xf numFmtId="0" fontId="2" fillId="0" borderId="74" xfId="0" applyFont="1" applyFill="1" applyBorder="1" applyAlignment="1">
      <alignment horizontal="center"/>
    </xf>
    <xf numFmtId="0" fontId="2" fillId="0" borderId="70" xfId="0" applyFont="1" applyBorder="1" applyAlignment="1">
      <alignment horizontal="center"/>
    </xf>
    <xf numFmtId="0" fontId="2" fillId="0" borderId="71"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6" fontId="2" fillId="0" borderId="19" xfId="0" applyNumberFormat="1" applyFont="1" applyBorder="1" applyAlignment="1">
      <alignment horizontal="center" vertical="center" wrapText="1"/>
    </xf>
    <xf numFmtId="6" fontId="2" fillId="0" borderId="0" xfId="0" applyNumberFormat="1" applyFont="1" applyBorder="1" applyAlignment="1">
      <alignment horizontal="center" vertical="center" wrapText="1"/>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11" fillId="0" borderId="61" xfId="0" applyFont="1" applyFill="1" applyBorder="1" applyAlignment="1">
      <alignment horizontal="right"/>
    </xf>
    <xf numFmtId="0" fontId="11" fillId="0" borderId="62" xfId="0" applyFont="1" applyFill="1" applyBorder="1" applyAlignment="1">
      <alignment horizontal="right"/>
    </xf>
    <xf numFmtId="0" fontId="11" fillId="0" borderId="29" xfId="0" applyFont="1" applyFill="1" applyBorder="1" applyAlignment="1">
      <alignment horizontal="right"/>
    </xf>
    <xf numFmtId="0" fontId="11" fillId="0" borderId="30" xfId="0" applyFont="1" applyFill="1" applyBorder="1" applyAlignment="1">
      <alignment horizontal="right"/>
    </xf>
    <xf numFmtId="0" fontId="2" fillId="0" borderId="34" xfId="0" applyFont="1" applyFill="1" applyBorder="1" applyAlignment="1">
      <alignment horizontal="right"/>
    </xf>
    <xf numFmtId="0" fontId="2" fillId="0" borderId="35" xfId="0" applyFont="1" applyFill="1" applyBorder="1" applyAlignment="1">
      <alignment horizontal="right"/>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0" fontId="3" fillId="3" borderId="14" xfId="0" applyFont="1" applyFill="1" applyBorder="1" applyAlignment="1">
      <alignment horizontal="center" wrapText="1"/>
    </xf>
    <xf numFmtId="0" fontId="2"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34" xfId="0" applyFill="1" applyBorder="1" applyAlignment="1">
      <alignment horizontal="left" vertical="center" wrapText="1"/>
    </xf>
    <xf numFmtId="0" fontId="0" fillId="0" borderId="35" xfId="0" applyFill="1" applyBorder="1" applyAlignment="1">
      <alignment horizontal="left" vertical="center" wrapText="1"/>
    </xf>
    <xf numFmtId="0" fontId="0" fillId="0" borderId="36" xfId="0"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61" xfId="0" applyFill="1" applyBorder="1" applyAlignment="1">
      <alignment horizontal="left" vertical="center" wrapText="1"/>
    </xf>
    <xf numFmtId="0" fontId="0" fillId="0" borderId="62" xfId="0" applyFill="1" applyBorder="1" applyAlignment="1">
      <alignment horizontal="left" vertical="center" wrapText="1"/>
    </xf>
    <xf numFmtId="0" fontId="0" fillId="0" borderId="63" xfId="0" applyFill="1" applyBorder="1" applyAlignment="1">
      <alignment horizontal="left" vertical="center" wrapText="1"/>
    </xf>
    <xf numFmtId="6" fontId="2" fillId="0" borderId="5" xfId="0" applyNumberFormat="1" applyFont="1" applyFill="1" applyBorder="1" applyAlignment="1">
      <alignment horizontal="center" vertical="center" wrapText="1"/>
    </xf>
    <xf numFmtId="6" fontId="2" fillId="0" borderId="16" xfId="0" applyNumberFormat="1" applyFont="1" applyFill="1" applyBorder="1" applyAlignment="1">
      <alignment horizontal="center" vertical="center" wrapText="1"/>
    </xf>
    <xf numFmtId="0" fontId="0" fillId="0" borderId="0" xfId="0" applyFill="1" applyBorder="1" applyAlignment="1">
      <alignment horizontal="left" wrapText="1"/>
    </xf>
    <xf numFmtId="0" fontId="2" fillId="0" borderId="37" xfId="0" applyFont="1" applyFill="1" applyBorder="1" applyAlignment="1">
      <alignment horizontal="center" vertical="center"/>
    </xf>
    <xf numFmtId="0" fontId="2" fillId="0" borderId="56" xfId="0" applyFont="1" applyFill="1" applyBorder="1" applyAlignment="1">
      <alignment horizontal="center" vertical="center"/>
    </xf>
    <xf numFmtId="0" fontId="0" fillId="0" borderId="26" xfId="0" applyBorder="1" applyAlignment="1">
      <alignment vertical="center" wrapText="1"/>
    </xf>
    <xf numFmtId="0" fontId="0" fillId="0" borderId="28" xfId="0"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wrapText="1"/>
    </xf>
    <xf numFmtId="0" fontId="2" fillId="5" borderId="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0" fillId="0" borderId="50" xfId="0" applyBorder="1" applyAlignment="1">
      <alignment vertical="center" wrapText="1"/>
    </xf>
    <xf numFmtId="0" fontId="0" fillId="0" borderId="51" xfId="0" applyBorder="1" applyAlignment="1">
      <alignment vertical="center" wrapText="1"/>
    </xf>
  </cellXfs>
  <cellStyles count="5">
    <cellStyle name="Comma" xfId="4" builtinId="3"/>
    <cellStyle name="Currency" xfId="1" builtinId="4"/>
    <cellStyle name="Normal" xfId="0" builtinId="0"/>
    <cellStyle name="Normal_Sheet3" xfId="3"/>
    <cellStyle name="Percent" xfId="2" builtinId="5"/>
  </cellStyles>
  <dxfs count="9">
    <dxf>
      <fill>
        <patternFill>
          <bgColor rgb="FFFF0000"/>
        </patternFill>
      </fill>
    </dxf>
    <dxf>
      <fill>
        <patternFill>
          <bgColor theme="5" tint="0.59996337778862885"/>
        </patternFill>
      </fill>
    </dxf>
    <dxf>
      <fill>
        <patternFill>
          <bgColor rgb="FFFFFF00"/>
        </patternFill>
      </fill>
    </dxf>
    <dxf>
      <fill>
        <patternFill>
          <bgColor rgb="FFFF0000"/>
        </patternFill>
      </fill>
    </dxf>
    <dxf>
      <fill>
        <patternFill>
          <bgColor theme="5" tint="0.59996337778862885"/>
        </patternFill>
      </fill>
    </dxf>
    <dxf>
      <fill>
        <patternFill>
          <bgColor rgb="FFFFFF00"/>
        </patternFill>
      </fill>
    </dxf>
    <dxf>
      <fill>
        <patternFill>
          <bgColor rgb="FFFF0000"/>
        </patternFill>
      </fill>
    </dxf>
    <dxf>
      <fill>
        <patternFill>
          <bgColor theme="5"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7938</xdr:colOff>
      <xdr:row>1</xdr:row>
      <xdr:rowOff>7937</xdr:rowOff>
    </xdr:from>
    <xdr:to>
      <xdr:col>8</xdr:col>
      <xdr:colOff>1016000</xdr:colOff>
      <xdr:row>19</xdr:row>
      <xdr:rowOff>63500</xdr:rowOff>
    </xdr:to>
    <xdr:sp macro="" textlink="">
      <xdr:nvSpPr>
        <xdr:cNvPr id="2" name="TextBox 1">
          <a:extLst>
            <a:ext uri="{FF2B5EF4-FFF2-40B4-BE49-F238E27FC236}">
              <a16:creationId xmlns:a16="http://schemas.microsoft.com/office/drawing/2014/main" id="{40C26E43-32AC-E7F3-336E-3F6A69557982}"/>
            </a:ext>
          </a:extLst>
        </xdr:cNvPr>
        <xdr:cNvSpPr txBox="1"/>
      </xdr:nvSpPr>
      <xdr:spPr>
        <a:xfrm>
          <a:off x="881063" y="198437"/>
          <a:ext cx="8874125" cy="31035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GHJ Memo</a:t>
          </a:r>
        </a:p>
        <a:p>
          <a:endParaRPr lang="en-US" sz="1100" b="1"/>
        </a:p>
        <a:p>
          <a:r>
            <a:rPr lang="en-US" sz="1100" b="1"/>
            <a:t>Background</a:t>
          </a:r>
          <a:r>
            <a:rPr lang="en-US" sz="1100" b="0"/>
            <a:t>:</a:t>
          </a:r>
          <a:r>
            <a:rPr lang="en-US" sz="1100" b="0" baseline="0"/>
            <a:t> </a:t>
          </a:r>
        </a:p>
        <a:p>
          <a:r>
            <a:rPr lang="en-US" sz="1100" b="0" baseline="0"/>
            <a:t>- GHJ utilized the Mock Data provided below for the purposes of illustrating our proposed annual fee methodology. </a:t>
          </a:r>
        </a:p>
        <a:p>
          <a:r>
            <a:rPr lang="en-US" sz="1100" b="0" baseline="0"/>
            <a:t>- To identify any changes made to the Mock Data, GHJ highlighted any cells which we updated. All other data below was included in the original Mock Data. </a:t>
          </a:r>
        </a:p>
        <a:p>
          <a:endParaRPr lang="en-US" sz="1100" b="0" baseline="0"/>
        </a:p>
        <a:p>
          <a:r>
            <a:rPr lang="en-US" sz="1100" b="1" baseline="0"/>
            <a:t>Procedures</a:t>
          </a:r>
          <a:r>
            <a:rPr lang="en-US" sz="1100" b="0" baseline="0"/>
            <a:t>:</a:t>
          </a:r>
        </a:p>
        <a:p>
          <a:r>
            <a:rPr lang="en-US" sz="1100" b="0" baseline="0"/>
            <a:t>- For ease of analysis, GHJ consolidated the "Active Over" and "Active Under" categories into a single category - "Active."</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 </a:t>
          </a:r>
          <a:r>
            <a:rPr lang="en-US" sz="1100" b="0" baseline="0">
              <a:solidFill>
                <a:schemeClr val="dk1"/>
              </a:solidFill>
              <a:effectLst/>
              <a:latin typeface="+mn-lt"/>
              <a:ea typeface="+mn-ea"/>
              <a:cs typeface="+mn-cs"/>
            </a:rPr>
            <a:t>For Cardrooms, calculated the ratio of "Table Count" for Active versus Non-Operating entities.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For TPPPS, calculated the ratio of "Total Staff" for Active versus Non-Operating entities. "Total Staff" has been used a proxy for licensed employees as the number of licensed employees was not available in the Mock Data.</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Conclusion</a:t>
          </a:r>
          <a:r>
            <a:rPr lang="en-US" sz="11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The percentage of Non-Operating Cardrooms and TPPPS entities to total Cardrooms and TPPPS was carried to the "Mock Data - Current Methodology" for further analysis.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Parkwest also calculated the Annual Fee per entity based on our proposed methodology. Additional details regarding the proposed methodology is included on the "Mock Data - Current Methodology" tab.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632113</xdr:colOff>
      <xdr:row>1</xdr:row>
      <xdr:rowOff>8660</xdr:rowOff>
    </xdr:from>
    <xdr:to>
      <xdr:col>11</xdr:col>
      <xdr:colOff>0</xdr:colOff>
      <xdr:row>5</xdr:row>
      <xdr:rowOff>181842</xdr:rowOff>
    </xdr:to>
    <xdr:sp macro="" textlink="">
      <xdr:nvSpPr>
        <xdr:cNvPr id="2" name="TextBox 1">
          <a:extLst>
            <a:ext uri="{FF2B5EF4-FFF2-40B4-BE49-F238E27FC236}">
              <a16:creationId xmlns:a16="http://schemas.microsoft.com/office/drawing/2014/main" id="{33B9FBD9-BCE4-4627-1089-651B7D38C8F8}"/>
            </a:ext>
          </a:extLst>
        </xdr:cNvPr>
        <xdr:cNvSpPr txBox="1"/>
      </xdr:nvSpPr>
      <xdr:spPr>
        <a:xfrm>
          <a:off x="632113" y="199160"/>
          <a:ext cx="11585864" cy="93518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GHJ Memo</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 GHJ utilized the Mock Data provided below for the purposes of illustrating our proposed annual fee methodology. </a:t>
          </a:r>
          <a:endParaRPr lang="en-US">
            <a:effectLst/>
          </a:endParaRPr>
        </a:p>
        <a:p>
          <a:r>
            <a:rPr lang="en-US" sz="1100" b="0" baseline="0">
              <a:solidFill>
                <a:schemeClr val="dk1"/>
              </a:solidFill>
              <a:effectLst/>
              <a:latin typeface="+mn-lt"/>
              <a:ea typeface="+mn-ea"/>
              <a:cs typeface="+mn-cs"/>
            </a:rPr>
            <a:t>- All data below was included in the original Mock Data. GHJ did not make any changes or updates to this data.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942975</xdr:colOff>
      <xdr:row>1</xdr:row>
      <xdr:rowOff>1</xdr:rowOff>
    </xdr:from>
    <xdr:to>
      <xdr:col>11</xdr:col>
      <xdr:colOff>971550</xdr:colOff>
      <xdr:row>20</xdr:row>
      <xdr:rowOff>104776</xdr:rowOff>
    </xdr:to>
    <xdr:sp macro="" textlink="">
      <xdr:nvSpPr>
        <xdr:cNvPr id="2" name="TextBox 1">
          <a:extLst>
            <a:ext uri="{FF2B5EF4-FFF2-40B4-BE49-F238E27FC236}">
              <a16:creationId xmlns:a16="http://schemas.microsoft.com/office/drawing/2014/main" id="{6196026A-F41F-3068-B991-FF05947FCCCB}"/>
            </a:ext>
          </a:extLst>
        </xdr:cNvPr>
        <xdr:cNvSpPr txBox="1"/>
      </xdr:nvSpPr>
      <xdr:spPr>
        <a:xfrm>
          <a:off x="942975" y="200026"/>
          <a:ext cx="13106400" cy="39052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GHJ Memo</a:t>
          </a:r>
        </a:p>
        <a:p>
          <a:endParaRPr lang="en-US">
            <a:effectLst/>
          </a:endParaRPr>
        </a:p>
        <a:p>
          <a:r>
            <a:rPr lang="en-US" sz="1100" b="1">
              <a:solidFill>
                <a:schemeClr val="dk1"/>
              </a:solidFill>
              <a:effectLst/>
              <a:latin typeface="+mn-lt"/>
              <a:ea typeface="+mn-ea"/>
              <a:cs typeface="+mn-cs"/>
            </a:rPr>
            <a:t>Background</a:t>
          </a:r>
          <a:r>
            <a:rPr lang="en-US" sz="1100" b="0">
              <a:solidFill>
                <a:schemeClr val="dk1"/>
              </a:solidFill>
              <a:effectLst/>
              <a:latin typeface="+mn-lt"/>
              <a:ea typeface="+mn-ea"/>
              <a:cs typeface="+mn-cs"/>
            </a:rPr>
            <a:t>:</a:t>
          </a:r>
          <a:r>
            <a:rPr lang="en-US" sz="1100" b="0" baseline="0">
              <a:solidFill>
                <a:schemeClr val="dk1"/>
              </a:solidFill>
              <a:effectLst/>
              <a:latin typeface="+mn-lt"/>
              <a:ea typeface="+mn-ea"/>
              <a:cs typeface="+mn-cs"/>
            </a:rPr>
            <a:t> </a:t>
          </a:r>
          <a:endParaRPr lang="en-US">
            <a:effectLst/>
          </a:endParaRPr>
        </a:p>
        <a:p>
          <a:r>
            <a:rPr lang="en-US" sz="1100" b="0" baseline="0">
              <a:solidFill>
                <a:schemeClr val="dk1"/>
              </a:solidFill>
              <a:effectLst/>
              <a:latin typeface="+mn-lt"/>
              <a:ea typeface="+mn-ea"/>
              <a:cs typeface="+mn-cs"/>
            </a:rPr>
            <a:t>- GHJ utilized the Mock Data provided below for the purposes of illustrating our proposed annual fee methodology. </a:t>
          </a:r>
          <a:endParaRPr lang="en-US">
            <a:effectLst/>
          </a:endParaRPr>
        </a:p>
        <a:p>
          <a:r>
            <a:rPr lang="en-US" sz="1100" b="0" baseline="0">
              <a:solidFill>
                <a:schemeClr val="dk1"/>
              </a:solidFill>
              <a:effectLst/>
              <a:latin typeface="+mn-lt"/>
              <a:ea typeface="+mn-ea"/>
              <a:cs typeface="+mn-cs"/>
            </a:rPr>
            <a:t>- To identify any changes made to the Mock Data, GHJ highlighted any cells which we updated. All other data below was included in the original Mock Data.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GHJ's proposed methodology recommends allocation of TPPPS fees based on the number of licensed employees. Total staff has been used as a proxy for licensed employees as the number of licensed employees per each TPPPS entity is not included in the Mock Data.</a:t>
          </a:r>
          <a:endParaRPr lang="en-US">
            <a:effectLst/>
          </a:endParaRP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Procedures</a:t>
          </a:r>
          <a:r>
            <a:rPr lang="en-US" sz="1100" b="0" baseline="0">
              <a:solidFill>
                <a:schemeClr val="dk1"/>
              </a:solidFill>
              <a:effectLst/>
              <a:latin typeface="+mn-lt"/>
              <a:ea typeface="+mn-ea"/>
              <a:cs typeface="+mn-cs"/>
            </a:rPr>
            <a:t>:</a:t>
          </a:r>
          <a:endParaRPr lang="en-US">
            <a:effectLst/>
          </a:endParaRPr>
        </a:p>
        <a:p>
          <a:r>
            <a:rPr lang="en-US" sz="1100" b="0" baseline="0">
              <a:solidFill>
                <a:schemeClr val="dk1"/>
              </a:solidFill>
              <a:effectLst/>
              <a:latin typeface="+mn-lt"/>
              <a:ea typeface="+mn-ea"/>
              <a:cs typeface="+mn-cs"/>
            </a:rPr>
            <a:t>- GHJ relied on the amounts to allocate ($18M) and allocation split between Cardrooms ($9.6M) and TPPPS ($8.4M) for Cost Pools 1-6 per the Mock Data below. </a:t>
          </a:r>
        </a:p>
        <a:p>
          <a:r>
            <a:rPr lang="en-US" sz="1100" b="0" baseline="0">
              <a:solidFill>
                <a:schemeClr val="dk1"/>
              </a:solidFill>
              <a:effectLst/>
              <a:latin typeface="+mn-lt"/>
              <a:ea typeface="+mn-ea"/>
              <a:cs typeface="+mn-cs"/>
            </a:rPr>
            <a:t>- GHJ allocated a portion of these Cardroom costs and TPPPS costs to Non-Operating entities. This allocation is based on the percentage of tables licensed to non-operating entities for Cardrooms, and the percentage of employees assigned to non-operating entities for TPPPS. Only a portion of Cost Pools 1 and 2 were allocated to the Non-Operating entities, as Cost Pools 3-6 appear to align more closely with ongoing monitoring and enforcement activities which are not applicable to Non-Operating entities.  </a:t>
          </a:r>
        </a:p>
        <a:p>
          <a:r>
            <a:rPr lang="en-US" sz="1100" b="0" baseline="0">
              <a:solidFill>
                <a:schemeClr val="dk1"/>
              </a:solidFill>
              <a:effectLst/>
              <a:latin typeface="+mn-lt"/>
              <a:ea typeface="+mn-ea"/>
              <a:cs typeface="+mn-cs"/>
            </a:rPr>
            <a:t>- The costs allocated to Non-Operating Cardrooms and TPPPS were then divided by the number of Non-Operating entities to calculate the annual fee per Non-Operating Cardroom and TPPPS.</a:t>
          </a:r>
        </a:p>
        <a:p>
          <a:r>
            <a:rPr lang="en-US" sz="1100" b="0" baseline="0">
              <a:solidFill>
                <a:schemeClr val="dk1"/>
              </a:solidFill>
              <a:effectLst/>
              <a:latin typeface="+mn-lt"/>
              <a:ea typeface="+mn-ea"/>
              <a:cs typeface="+mn-cs"/>
            </a:rPr>
            <a:t>- After carving out the portion of costs allocated to Non-Operating Entities, the remaining costs were then allocated to Active entities. This allocation is based on the number of tables for Cardrooms, and the number of employees for TPPPS. </a:t>
          </a:r>
        </a:p>
        <a:p>
          <a:endParaRPr lang="en-US" sz="1100" b="0"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Conclusion</a:t>
          </a:r>
          <a:r>
            <a:rPr lang="en-US" sz="1100" b="0" baseline="0">
              <a:solidFill>
                <a:schemeClr val="dk1"/>
              </a:solidFill>
              <a:effectLst/>
              <a:latin typeface="+mn-lt"/>
              <a:ea typeface="+mn-ea"/>
              <a:cs typeface="+mn-cs"/>
            </a:rPr>
            <a:t>: </a:t>
          </a:r>
          <a:endParaRPr lang="en-US">
            <a:effectLst/>
          </a:endParaRPr>
        </a:p>
        <a:p>
          <a:pPr eaLnBrk="1" fontAlgn="auto" latinLnBrk="0" hangingPunct="1"/>
          <a:r>
            <a:rPr lang="en-US" sz="1100" b="0" baseline="0">
              <a:solidFill>
                <a:schemeClr val="dk1"/>
              </a:solidFill>
              <a:effectLst/>
              <a:latin typeface="+mn-lt"/>
              <a:ea typeface="+mn-ea"/>
              <a:cs typeface="+mn-cs"/>
            </a:rPr>
            <a:t>- Based on our proposed methodology and the Mock Data provided, the annual fee is $2,609 for each Non-Operating Cardroom and $585 for each Non-Operating TPPPS entity. The annual fee is $5,398 per table for each Active Cardroom and $953 per employee for each Active TPPPS. </a:t>
          </a:r>
        </a:p>
        <a:p>
          <a:pPr eaLnBrk="1" fontAlgn="auto" latinLnBrk="0" hangingPunct="1"/>
          <a:r>
            <a:rPr lang="en-US" sz="1100" b="0" baseline="0">
              <a:solidFill>
                <a:schemeClr val="dk1"/>
              </a:solidFill>
              <a:effectLst/>
              <a:latin typeface="+mn-lt"/>
              <a:ea typeface="+mn-ea"/>
              <a:cs typeface="+mn-cs"/>
            </a:rPr>
            <a:t>- For illustrative purposes, GHJ also calculated the annual fee per entity based on our proposed methodology. Please see the "Mock Data" tab for additional details.</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gtamer-my.sharepoint.com/personal/csconce_mgtconsulting_com/Documents/Documents/MGTProjects/UF%20Projects/CA%20Gambling%20Commission%20FY22/Commission/Commission%20-%20Gambling%20Control%20UF%20FY23_081822%20rev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vc Def"/>
      <sheetName val="PSA"/>
      <sheetName val="ICRP"/>
      <sheetName val="Hourly Rates"/>
      <sheetName val="Time"/>
      <sheetName val="Total Cost"/>
      <sheetName val="Exec Summary"/>
      <sheetName val="Report"/>
      <sheetName val="GCF revenue"/>
      <sheetName val="Salaries &amp; Benefits"/>
      <sheetName val="Allotment"/>
      <sheetName val="Savings"/>
      <sheetName val="Fee schedule"/>
      <sheetName val="Tasks"/>
      <sheetName val="Base Fee"/>
      <sheetName val="Commission - Gambling Control U"/>
    </sheetNames>
    <sheetDataSet>
      <sheetData sheetId="0"/>
      <sheetData sheetId="1"/>
      <sheetData sheetId="2">
        <row r="2">
          <cell r="N2">
            <v>13</v>
          </cell>
        </row>
        <row r="3">
          <cell r="N3">
            <v>12</v>
          </cell>
        </row>
        <row r="4">
          <cell r="N4">
            <v>11</v>
          </cell>
        </row>
        <row r="5">
          <cell r="N5">
            <v>0</v>
          </cell>
        </row>
        <row r="6">
          <cell r="N6">
            <v>2</v>
          </cell>
        </row>
      </sheetData>
      <sheetData sheetId="3">
        <row r="11">
          <cell r="C11">
            <v>0</v>
          </cell>
        </row>
        <row r="50">
          <cell r="J50">
            <v>0.23649612799414771</v>
          </cell>
        </row>
        <row r="53">
          <cell r="J53">
            <v>0</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M153"/>
  <sheetViews>
    <sheetView zoomScale="120" zoomScaleNormal="120" workbookViewId="0">
      <selection activeCell="L13" sqref="L13"/>
    </sheetView>
  </sheetViews>
  <sheetFormatPr defaultColWidth="9.140625" defaultRowHeight="15" x14ac:dyDescent="0.25"/>
  <cols>
    <col min="1" max="1" width="13.140625" style="1" customWidth="1"/>
    <col min="2" max="2" width="15.28515625" style="3" customWidth="1"/>
    <col min="3" max="3" width="19.5703125" style="3" customWidth="1"/>
    <col min="4" max="4" width="17" style="69" customWidth="1"/>
    <col min="5" max="6" width="15.5703125" style="69" bestFit="1" customWidth="1"/>
    <col min="7" max="7" width="18.5703125" style="70" bestFit="1" customWidth="1"/>
    <col min="8" max="8" width="16.42578125" style="72" customWidth="1"/>
    <col min="9" max="9" width="15.42578125" style="96" customWidth="1"/>
    <col min="10" max="10" width="14.28515625" style="1" customWidth="1"/>
    <col min="11" max="11" width="14.140625" style="1" customWidth="1"/>
    <col min="12" max="12" width="14.28515625" style="1" customWidth="1"/>
    <col min="13" max="13" width="5.140625" style="1" bestFit="1" customWidth="1"/>
    <col min="14" max="16384" width="9.140625" style="1"/>
  </cols>
  <sheetData>
    <row r="21" spans="1:11" ht="15.75" thickBot="1" x14ac:dyDescent="0.3"/>
    <row r="22" spans="1:11" ht="25.5" customHeight="1" x14ac:dyDescent="0.25">
      <c r="A22" s="242" t="s">
        <v>150</v>
      </c>
      <c r="B22" s="243"/>
      <c r="C22" s="243"/>
      <c r="D22" s="243"/>
      <c r="E22" s="243"/>
      <c r="F22" s="243"/>
      <c r="G22" s="243"/>
      <c r="H22" s="243"/>
      <c r="I22" s="244"/>
    </row>
    <row r="23" spans="1:11" ht="42" customHeight="1" thickBot="1" x14ac:dyDescent="0.3">
      <c r="A23" s="209" t="s">
        <v>264</v>
      </c>
      <c r="B23" s="210" t="s">
        <v>151</v>
      </c>
      <c r="C23" s="210" t="s">
        <v>262</v>
      </c>
      <c r="D23" s="211" t="s">
        <v>279</v>
      </c>
      <c r="E23" s="211" t="s">
        <v>280</v>
      </c>
      <c r="F23" s="211" t="s">
        <v>281</v>
      </c>
      <c r="G23" s="211" t="s">
        <v>282</v>
      </c>
      <c r="H23" s="207" t="s">
        <v>269</v>
      </c>
      <c r="I23" s="208" t="s">
        <v>270</v>
      </c>
      <c r="K23" s="119" t="s">
        <v>316</v>
      </c>
    </row>
    <row r="24" spans="1:11" x14ac:dyDescent="0.25">
      <c r="A24" s="99" t="s">
        <v>148</v>
      </c>
      <c r="B24" s="100" t="s">
        <v>152</v>
      </c>
      <c r="C24" s="105" t="s">
        <v>297</v>
      </c>
      <c r="D24" s="101">
        <v>95750000</v>
      </c>
      <c r="E24" s="101">
        <v>85000000</v>
      </c>
      <c r="F24" s="101">
        <v>65890000</v>
      </c>
      <c r="G24" s="102">
        <f t="shared" ref="G24:G55" si="0">AVERAGE(D24:F24)</f>
        <v>82213333.333333328</v>
      </c>
      <c r="H24" s="103">
        <v>180</v>
      </c>
      <c r="I24" s="104">
        <v>1500</v>
      </c>
      <c r="K24" s="123">
        <f>H24*'3)MOCK DATA-CURRENT METHODOLOGY'!$G$49</f>
        <v>971659.0515654186</v>
      </c>
    </row>
    <row r="25" spans="1:11" x14ac:dyDescent="0.25">
      <c r="A25" s="89" t="s">
        <v>148</v>
      </c>
      <c r="B25" s="75" t="s">
        <v>153</v>
      </c>
      <c r="C25" s="105" t="s">
        <v>297</v>
      </c>
      <c r="D25" s="76">
        <v>98900000</v>
      </c>
      <c r="E25" s="76">
        <v>91000000</v>
      </c>
      <c r="F25" s="76">
        <v>46630380</v>
      </c>
      <c r="G25" s="73">
        <f t="shared" si="0"/>
        <v>78843460</v>
      </c>
      <c r="H25" s="74">
        <v>175</v>
      </c>
      <c r="I25" s="94">
        <v>1450</v>
      </c>
      <c r="K25" s="124">
        <f>H25*'3)MOCK DATA-CURRENT METHODOLOGY'!$G$49</f>
        <v>944668.52235526813</v>
      </c>
    </row>
    <row r="26" spans="1:11" x14ac:dyDescent="0.25">
      <c r="A26" s="89" t="s">
        <v>148</v>
      </c>
      <c r="B26" s="75" t="s">
        <v>154</v>
      </c>
      <c r="C26" s="105" t="s">
        <v>297</v>
      </c>
      <c r="D26" s="76">
        <v>75750000</v>
      </c>
      <c r="E26" s="76">
        <v>65000000</v>
      </c>
      <c r="F26" s="76">
        <v>75890000</v>
      </c>
      <c r="G26" s="73">
        <f t="shared" si="0"/>
        <v>72213333.333333328</v>
      </c>
      <c r="H26" s="74">
        <v>160</v>
      </c>
      <c r="I26" s="94">
        <v>1400</v>
      </c>
      <c r="K26" s="124">
        <f>H26*'3)MOCK DATA-CURRENT METHODOLOGY'!$G$49</f>
        <v>863696.93472481659</v>
      </c>
    </row>
    <row r="27" spans="1:11" x14ac:dyDescent="0.25">
      <c r="A27" s="89" t="s">
        <v>148</v>
      </c>
      <c r="B27" s="75" t="s">
        <v>155</v>
      </c>
      <c r="C27" s="105" t="s">
        <v>297</v>
      </c>
      <c r="D27" s="76">
        <v>78000000</v>
      </c>
      <c r="E27" s="76">
        <v>67000000</v>
      </c>
      <c r="F27" s="76">
        <v>57000000</v>
      </c>
      <c r="G27" s="73">
        <f t="shared" si="0"/>
        <v>67333333.333333328</v>
      </c>
      <c r="H27" s="74">
        <v>150</v>
      </c>
      <c r="I27" s="94">
        <v>1200</v>
      </c>
      <c r="K27" s="124">
        <f>H27*'3)MOCK DATA-CURRENT METHODOLOGY'!$G$49</f>
        <v>809715.87630451552</v>
      </c>
    </row>
    <row r="28" spans="1:11" x14ac:dyDescent="0.25">
      <c r="A28" s="89" t="s">
        <v>148</v>
      </c>
      <c r="B28" s="75" t="s">
        <v>156</v>
      </c>
      <c r="C28" s="105" t="s">
        <v>297</v>
      </c>
      <c r="D28" s="76">
        <v>57000000</v>
      </c>
      <c r="E28" s="76">
        <v>45000000</v>
      </c>
      <c r="F28" s="76">
        <v>52050000</v>
      </c>
      <c r="G28" s="73">
        <f t="shared" si="0"/>
        <v>51350000</v>
      </c>
      <c r="H28" s="74">
        <v>125</v>
      </c>
      <c r="I28" s="94">
        <v>1100</v>
      </c>
      <c r="K28" s="124">
        <f>H28*'3)MOCK DATA-CURRENT METHODOLOGY'!$G$49</f>
        <v>674763.23025376291</v>
      </c>
    </row>
    <row r="29" spans="1:11" ht="16.5" customHeight="1" x14ac:dyDescent="0.25">
      <c r="A29" s="89" t="s">
        <v>148</v>
      </c>
      <c r="B29" s="75" t="s">
        <v>157</v>
      </c>
      <c r="C29" s="105" t="s">
        <v>297</v>
      </c>
      <c r="D29" s="76">
        <v>44300000</v>
      </c>
      <c r="E29" s="76">
        <v>41300000</v>
      </c>
      <c r="F29" s="76">
        <v>46000000</v>
      </c>
      <c r="G29" s="73">
        <f t="shared" si="0"/>
        <v>43866666.666666664</v>
      </c>
      <c r="H29" s="74">
        <v>70</v>
      </c>
      <c r="I29" s="94">
        <v>900</v>
      </c>
      <c r="K29" s="124">
        <f>H29*'3)MOCK DATA-CURRENT METHODOLOGY'!$G$49</f>
        <v>377867.40894210723</v>
      </c>
    </row>
    <row r="30" spans="1:11" x14ac:dyDescent="0.25">
      <c r="A30" s="89" t="s">
        <v>148</v>
      </c>
      <c r="B30" s="75" t="s">
        <v>158</v>
      </c>
      <c r="C30" s="105" t="s">
        <v>297</v>
      </c>
      <c r="D30" s="76">
        <v>40000000</v>
      </c>
      <c r="E30" s="76">
        <v>32000000</v>
      </c>
      <c r="F30" s="76">
        <v>51000000</v>
      </c>
      <c r="G30" s="73">
        <f t="shared" si="0"/>
        <v>41000000</v>
      </c>
      <c r="H30" s="74">
        <v>70</v>
      </c>
      <c r="I30" s="94">
        <v>850</v>
      </c>
      <c r="K30" s="124">
        <f>H30*'3)MOCK DATA-CURRENT METHODOLOGY'!$G$49</f>
        <v>377867.40894210723</v>
      </c>
    </row>
    <row r="31" spans="1:11" x14ac:dyDescent="0.25">
      <c r="A31" s="89" t="s">
        <v>148</v>
      </c>
      <c r="B31" s="75" t="s">
        <v>159</v>
      </c>
      <c r="C31" s="105" t="s">
        <v>297</v>
      </c>
      <c r="D31" s="76">
        <v>51275000</v>
      </c>
      <c r="E31" s="76">
        <v>25000000</v>
      </c>
      <c r="F31" s="76">
        <v>35000000</v>
      </c>
      <c r="G31" s="73">
        <f t="shared" si="0"/>
        <v>37091666.666666664</v>
      </c>
      <c r="H31" s="74">
        <v>70</v>
      </c>
      <c r="I31" s="94">
        <v>825</v>
      </c>
      <c r="K31" s="124">
        <f>H31*'3)MOCK DATA-CURRENT METHODOLOGY'!$G$49</f>
        <v>377867.40894210723</v>
      </c>
    </row>
    <row r="32" spans="1:11" x14ac:dyDescent="0.25">
      <c r="A32" s="89" t="s">
        <v>148</v>
      </c>
      <c r="B32" s="75" t="s">
        <v>160</v>
      </c>
      <c r="C32" s="105" t="s">
        <v>297</v>
      </c>
      <c r="D32" s="76">
        <v>25000000</v>
      </c>
      <c r="E32" s="76">
        <v>32000000</v>
      </c>
      <c r="F32" s="76">
        <v>37000000</v>
      </c>
      <c r="G32" s="73">
        <f t="shared" si="0"/>
        <v>31333333.333333332</v>
      </c>
      <c r="H32" s="74">
        <v>65</v>
      </c>
      <c r="I32" s="94">
        <v>600</v>
      </c>
      <c r="K32" s="124">
        <f>H32*'3)MOCK DATA-CURRENT METHODOLOGY'!$G$49</f>
        <v>350876.87973195669</v>
      </c>
    </row>
    <row r="33" spans="1:11" x14ac:dyDescent="0.25">
      <c r="A33" s="89" t="s">
        <v>148</v>
      </c>
      <c r="B33" s="75" t="s">
        <v>161</v>
      </c>
      <c r="C33" s="105" t="s">
        <v>297</v>
      </c>
      <c r="D33" s="76">
        <v>28200000</v>
      </c>
      <c r="E33" s="76">
        <v>27500000</v>
      </c>
      <c r="F33" s="76">
        <v>29500000</v>
      </c>
      <c r="G33" s="73">
        <f t="shared" si="0"/>
        <v>28400000</v>
      </c>
      <c r="H33" s="74">
        <v>35</v>
      </c>
      <c r="I33" s="94">
        <v>410</v>
      </c>
      <c r="K33" s="124">
        <f>H33*'3)MOCK DATA-CURRENT METHODOLOGY'!$G$49</f>
        <v>188933.70447105361</v>
      </c>
    </row>
    <row r="34" spans="1:11" x14ac:dyDescent="0.25">
      <c r="A34" s="89" t="s">
        <v>148</v>
      </c>
      <c r="B34" s="75" t="s">
        <v>162</v>
      </c>
      <c r="C34" s="105" t="s">
        <v>297</v>
      </c>
      <c r="D34" s="76">
        <v>29700000</v>
      </c>
      <c r="E34" s="76">
        <v>17000000</v>
      </c>
      <c r="F34" s="76">
        <v>25000000</v>
      </c>
      <c r="G34" s="73">
        <f t="shared" si="0"/>
        <v>23900000</v>
      </c>
      <c r="H34" s="74">
        <v>40</v>
      </c>
      <c r="I34" s="94">
        <v>420</v>
      </c>
      <c r="K34" s="124">
        <f>H34*'3)MOCK DATA-CURRENT METHODOLOGY'!$G$49</f>
        <v>215924.23368120415</v>
      </c>
    </row>
    <row r="35" spans="1:11" x14ac:dyDescent="0.25">
      <c r="A35" s="89" t="s">
        <v>148</v>
      </c>
      <c r="B35" s="75" t="s">
        <v>163</v>
      </c>
      <c r="C35" s="105" t="s">
        <v>297</v>
      </c>
      <c r="D35" s="76">
        <v>27500000</v>
      </c>
      <c r="E35" s="76">
        <v>24000000</v>
      </c>
      <c r="F35" s="76">
        <v>16500000</v>
      </c>
      <c r="G35" s="73">
        <f t="shared" si="0"/>
        <v>22666666.666666668</v>
      </c>
      <c r="H35" s="74">
        <v>40</v>
      </c>
      <c r="I35" s="94">
        <v>415</v>
      </c>
      <c r="K35" s="124">
        <f>H35*'3)MOCK DATA-CURRENT METHODOLOGY'!$G$49</f>
        <v>215924.23368120415</v>
      </c>
    </row>
    <row r="36" spans="1:11" x14ac:dyDescent="0.25">
      <c r="A36" s="89" t="s">
        <v>148</v>
      </c>
      <c r="B36" s="75" t="s">
        <v>164</v>
      </c>
      <c r="C36" s="105" t="s">
        <v>297</v>
      </c>
      <c r="D36" s="76">
        <v>21500000</v>
      </c>
      <c r="E36" s="76">
        <v>19000000</v>
      </c>
      <c r="F36" s="76">
        <v>16900000</v>
      </c>
      <c r="G36" s="73">
        <f t="shared" si="0"/>
        <v>19133333.333333332</v>
      </c>
      <c r="H36" s="74">
        <v>40</v>
      </c>
      <c r="I36" s="94">
        <v>405</v>
      </c>
      <c r="K36" s="124">
        <f>H36*'3)MOCK DATA-CURRENT METHODOLOGY'!$G$49</f>
        <v>215924.23368120415</v>
      </c>
    </row>
    <row r="37" spans="1:11" x14ac:dyDescent="0.25">
      <c r="A37" s="89" t="s">
        <v>148</v>
      </c>
      <c r="B37" s="75" t="s">
        <v>165</v>
      </c>
      <c r="C37" s="105" t="s">
        <v>297</v>
      </c>
      <c r="D37" s="76">
        <v>18500000</v>
      </c>
      <c r="E37" s="76">
        <v>12000000</v>
      </c>
      <c r="F37" s="76">
        <v>15250000</v>
      </c>
      <c r="G37" s="73">
        <f t="shared" si="0"/>
        <v>15250000</v>
      </c>
      <c r="H37" s="74">
        <v>28</v>
      </c>
      <c r="I37" s="94">
        <v>225</v>
      </c>
      <c r="K37" s="124">
        <f>H37*'3)MOCK DATA-CURRENT METHODOLOGY'!$G$49</f>
        <v>151146.96357684289</v>
      </c>
    </row>
    <row r="38" spans="1:11" ht="15" customHeight="1" x14ac:dyDescent="0.25">
      <c r="A38" s="89" t="s">
        <v>148</v>
      </c>
      <c r="B38" s="75" t="s">
        <v>166</v>
      </c>
      <c r="C38" s="105" t="s">
        <v>297</v>
      </c>
      <c r="D38" s="76">
        <v>21575000</v>
      </c>
      <c r="E38" s="76">
        <v>18645000</v>
      </c>
      <c r="F38" s="77">
        <v>2480000</v>
      </c>
      <c r="G38" s="73">
        <f t="shared" si="0"/>
        <v>14233333.333333334</v>
      </c>
      <c r="H38" s="74">
        <v>25</v>
      </c>
      <c r="I38" s="94">
        <v>230</v>
      </c>
      <c r="K38" s="124">
        <f>H38*'3)MOCK DATA-CURRENT METHODOLOGY'!$G$49</f>
        <v>134952.64605075258</v>
      </c>
    </row>
    <row r="39" spans="1:11" ht="15" customHeight="1" x14ac:dyDescent="0.25">
      <c r="A39" s="89" t="s">
        <v>148</v>
      </c>
      <c r="B39" s="75" t="s">
        <v>167</v>
      </c>
      <c r="C39" s="105" t="s">
        <v>297</v>
      </c>
      <c r="D39" s="76">
        <v>13500000</v>
      </c>
      <c r="E39" s="76">
        <v>12780000</v>
      </c>
      <c r="F39" s="76">
        <v>11750000</v>
      </c>
      <c r="G39" s="73">
        <f t="shared" si="0"/>
        <v>12676666.666666666</v>
      </c>
      <c r="H39" s="74">
        <v>25</v>
      </c>
      <c r="I39" s="94">
        <v>220</v>
      </c>
      <c r="K39" s="124">
        <f>H39*'3)MOCK DATA-CURRENT METHODOLOGY'!$G$49</f>
        <v>134952.64605075258</v>
      </c>
    </row>
    <row r="40" spans="1:11" ht="15" customHeight="1" x14ac:dyDescent="0.25">
      <c r="A40" s="89" t="s">
        <v>148</v>
      </c>
      <c r="B40" s="75" t="s">
        <v>168</v>
      </c>
      <c r="C40" s="105" t="s">
        <v>297</v>
      </c>
      <c r="D40" s="76">
        <v>11200000</v>
      </c>
      <c r="E40" s="76">
        <v>6800000</v>
      </c>
      <c r="F40" s="76">
        <v>17500000</v>
      </c>
      <c r="G40" s="73">
        <f t="shared" si="0"/>
        <v>11833333.333333334</v>
      </c>
      <c r="H40" s="74">
        <v>25</v>
      </c>
      <c r="I40" s="94">
        <v>215</v>
      </c>
      <c r="K40" s="124">
        <f>H40*'3)MOCK DATA-CURRENT METHODOLOGY'!$G$49</f>
        <v>134952.64605075258</v>
      </c>
    </row>
    <row r="41" spans="1:11" ht="15" customHeight="1" x14ac:dyDescent="0.25">
      <c r="A41" s="89" t="s">
        <v>148</v>
      </c>
      <c r="B41" s="75" t="s">
        <v>169</v>
      </c>
      <c r="C41" s="105" t="s">
        <v>297</v>
      </c>
      <c r="D41" s="76">
        <v>17520000</v>
      </c>
      <c r="E41" s="76">
        <v>5200500</v>
      </c>
      <c r="F41" s="76">
        <v>9800000</v>
      </c>
      <c r="G41" s="73">
        <f t="shared" si="0"/>
        <v>10840166.666666666</v>
      </c>
      <c r="H41" s="74">
        <v>20</v>
      </c>
      <c r="I41" s="94">
        <v>150</v>
      </c>
      <c r="K41" s="124">
        <f>H41*'3)MOCK DATA-CURRENT METHODOLOGY'!$G$49</f>
        <v>107962.11684060207</v>
      </c>
    </row>
    <row r="42" spans="1:11" ht="15" customHeight="1" x14ac:dyDescent="0.25">
      <c r="A42" s="89" t="s">
        <v>148</v>
      </c>
      <c r="B42" s="75" t="s">
        <v>170</v>
      </c>
      <c r="C42" s="105" t="s">
        <v>297</v>
      </c>
      <c r="D42" s="76">
        <v>25000000</v>
      </c>
      <c r="E42" s="76">
        <v>2200000</v>
      </c>
      <c r="F42" s="76">
        <v>3200000</v>
      </c>
      <c r="G42" s="73">
        <f t="shared" si="0"/>
        <v>10133333.333333334</v>
      </c>
      <c r="H42" s="74">
        <v>22</v>
      </c>
      <c r="I42" s="94">
        <v>155</v>
      </c>
      <c r="K42" s="124">
        <f>H42*'3)MOCK DATA-CURRENT METHODOLOGY'!$G$49</f>
        <v>118758.32852466227</v>
      </c>
    </row>
    <row r="43" spans="1:11" ht="15.75" customHeight="1" x14ac:dyDescent="0.25">
      <c r="A43" s="89" t="s">
        <v>148</v>
      </c>
      <c r="B43" s="75" t="s">
        <v>171</v>
      </c>
      <c r="C43" s="105" t="s">
        <v>297</v>
      </c>
      <c r="D43" s="76">
        <v>11500000</v>
      </c>
      <c r="E43" s="76">
        <v>3314943</v>
      </c>
      <c r="F43" s="76">
        <v>10413940</v>
      </c>
      <c r="G43" s="73">
        <f t="shared" si="0"/>
        <v>8409627.666666666</v>
      </c>
      <c r="H43" s="74">
        <v>18</v>
      </c>
      <c r="I43" s="94">
        <v>125</v>
      </c>
      <c r="K43" s="124">
        <f>H43*'3)MOCK DATA-CURRENT METHODOLOGY'!$G$49</f>
        <v>97165.905156541863</v>
      </c>
    </row>
    <row r="44" spans="1:11" x14ac:dyDescent="0.25">
      <c r="A44" s="89" t="s">
        <v>148</v>
      </c>
      <c r="B44" s="75" t="s">
        <v>172</v>
      </c>
      <c r="C44" s="105" t="s">
        <v>297</v>
      </c>
      <c r="D44" s="76">
        <v>7500000</v>
      </c>
      <c r="E44" s="76">
        <v>6500000</v>
      </c>
      <c r="F44" s="76">
        <v>10000000</v>
      </c>
      <c r="G44" s="73">
        <f t="shared" si="0"/>
        <v>8000000</v>
      </c>
      <c r="H44" s="74">
        <v>18</v>
      </c>
      <c r="I44" s="94">
        <v>130</v>
      </c>
      <c r="K44" s="124">
        <f>H44*'3)MOCK DATA-CURRENT METHODOLOGY'!$G$49</f>
        <v>97165.905156541863</v>
      </c>
    </row>
    <row r="45" spans="1:11" ht="15" customHeight="1" x14ac:dyDescent="0.25">
      <c r="A45" s="89" t="s">
        <v>148</v>
      </c>
      <c r="B45" s="75" t="s">
        <v>173</v>
      </c>
      <c r="C45" s="105" t="s">
        <v>297</v>
      </c>
      <c r="D45" s="76">
        <v>9200000</v>
      </c>
      <c r="E45" s="76">
        <v>7500000</v>
      </c>
      <c r="F45" s="76">
        <v>6000000</v>
      </c>
      <c r="G45" s="73">
        <f t="shared" si="0"/>
        <v>7566666.666666667</v>
      </c>
      <c r="H45" s="74">
        <v>18</v>
      </c>
      <c r="I45" s="94">
        <v>120</v>
      </c>
      <c r="K45" s="124">
        <f>H45*'3)MOCK DATA-CURRENT METHODOLOGY'!$G$49</f>
        <v>97165.905156541863</v>
      </c>
    </row>
    <row r="46" spans="1:11" x14ac:dyDescent="0.25">
      <c r="A46" s="89" t="s">
        <v>148</v>
      </c>
      <c r="B46" s="75" t="s">
        <v>174</v>
      </c>
      <c r="C46" s="105" t="s">
        <v>297</v>
      </c>
      <c r="D46" s="76">
        <v>7800000</v>
      </c>
      <c r="E46" s="76">
        <v>5600000</v>
      </c>
      <c r="F46" s="76">
        <v>8300000</v>
      </c>
      <c r="G46" s="73">
        <f t="shared" si="0"/>
        <v>7233333.333333333</v>
      </c>
      <c r="H46" s="74">
        <v>18</v>
      </c>
      <c r="I46" s="94">
        <v>115</v>
      </c>
      <c r="K46" s="124">
        <f>H46*'3)MOCK DATA-CURRENT METHODOLOGY'!$G$49</f>
        <v>97165.905156541863</v>
      </c>
    </row>
    <row r="47" spans="1:11" x14ac:dyDescent="0.25">
      <c r="A47" s="89" t="s">
        <v>148</v>
      </c>
      <c r="B47" s="75" t="s">
        <v>175</v>
      </c>
      <c r="C47" s="105" t="s">
        <v>297</v>
      </c>
      <c r="D47" s="76">
        <v>5700000</v>
      </c>
      <c r="E47" s="76">
        <v>4900000</v>
      </c>
      <c r="F47" s="76">
        <v>6800000</v>
      </c>
      <c r="G47" s="73">
        <f t="shared" si="0"/>
        <v>5800000</v>
      </c>
      <c r="H47" s="74">
        <v>18</v>
      </c>
      <c r="I47" s="94">
        <v>118</v>
      </c>
      <c r="K47" s="124">
        <f>H47*'3)MOCK DATA-CURRENT METHODOLOGY'!$G$49</f>
        <v>97165.905156541863</v>
      </c>
    </row>
    <row r="48" spans="1:11" x14ac:dyDescent="0.25">
      <c r="A48" s="89" t="s">
        <v>148</v>
      </c>
      <c r="B48" s="75" t="s">
        <v>176</v>
      </c>
      <c r="C48" s="105" t="s">
        <v>297</v>
      </c>
      <c r="D48" s="76">
        <v>5200000</v>
      </c>
      <c r="E48" s="76">
        <v>5555000</v>
      </c>
      <c r="F48" s="76">
        <v>6500000</v>
      </c>
      <c r="G48" s="73">
        <f t="shared" si="0"/>
        <v>5751666.666666667</v>
      </c>
      <c r="H48" s="74">
        <v>15</v>
      </c>
      <c r="I48" s="94">
        <v>106</v>
      </c>
      <c r="K48" s="124">
        <f>H48*'3)MOCK DATA-CURRENT METHODOLOGY'!$G$49</f>
        <v>80971.587630451555</v>
      </c>
    </row>
    <row r="49" spans="1:11" x14ac:dyDescent="0.25">
      <c r="A49" s="89" t="s">
        <v>148</v>
      </c>
      <c r="B49" s="75" t="s">
        <v>177</v>
      </c>
      <c r="C49" s="105" t="s">
        <v>297</v>
      </c>
      <c r="D49" s="76">
        <v>1400000</v>
      </c>
      <c r="E49" s="76">
        <v>7500000</v>
      </c>
      <c r="F49" s="76">
        <v>7500000</v>
      </c>
      <c r="G49" s="73">
        <f t="shared" si="0"/>
        <v>5466666.666666667</v>
      </c>
      <c r="H49" s="74">
        <v>14</v>
      </c>
      <c r="I49" s="94">
        <v>102</v>
      </c>
      <c r="K49" s="124">
        <f>H49*'3)MOCK DATA-CURRENT METHODOLOGY'!$G$49</f>
        <v>75573.481788421443</v>
      </c>
    </row>
    <row r="50" spans="1:11" x14ac:dyDescent="0.25">
      <c r="A50" s="89" t="s">
        <v>148</v>
      </c>
      <c r="B50" s="75" t="s">
        <v>178</v>
      </c>
      <c r="C50" s="105" t="s">
        <v>297</v>
      </c>
      <c r="D50" s="76">
        <v>6300000</v>
      </c>
      <c r="E50" s="76">
        <v>2800000</v>
      </c>
      <c r="F50" s="76">
        <v>6900000</v>
      </c>
      <c r="G50" s="73">
        <f t="shared" si="0"/>
        <v>5333333.333333333</v>
      </c>
      <c r="H50" s="74">
        <v>16</v>
      </c>
      <c r="I50" s="94">
        <v>97</v>
      </c>
      <c r="K50" s="124">
        <f>H50*'3)MOCK DATA-CURRENT METHODOLOGY'!$G$49</f>
        <v>86369.693472481653</v>
      </c>
    </row>
    <row r="51" spans="1:11" x14ac:dyDescent="0.25">
      <c r="A51" s="89" t="s">
        <v>148</v>
      </c>
      <c r="B51" s="75" t="s">
        <v>179</v>
      </c>
      <c r="C51" s="105" t="s">
        <v>297</v>
      </c>
      <c r="D51" s="76">
        <v>7560000</v>
      </c>
      <c r="E51" s="76">
        <v>4525000</v>
      </c>
      <c r="F51" s="78">
        <v>2500000</v>
      </c>
      <c r="G51" s="73">
        <f t="shared" si="0"/>
        <v>4861666.666666667</v>
      </c>
      <c r="H51" s="74">
        <v>16</v>
      </c>
      <c r="I51" s="94">
        <v>112</v>
      </c>
      <c r="K51" s="124">
        <f>H51*'3)MOCK DATA-CURRENT METHODOLOGY'!$G$49</f>
        <v>86369.693472481653</v>
      </c>
    </row>
    <row r="52" spans="1:11" x14ac:dyDescent="0.25">
      <c r="A52" s="89" t="s">
        <v>148</v>
      </c>
      <c r="B52" s="75" t="s">
        <v>180</v>
      </c>
      <c r="C52" s="105" t="s">
        <v>297</v>
      </c>
      <c r="D52" s="76">
        <v>2300000</v>
      </c>
      <c r="E52" s="76">
        <v>6800000</v>
      </c>
      <c r="F52" s="76">
        <v>5400000</v>
      </c>
      <c r="G52" s="73">
        <f t="shared" si="0"/>
        <v>4833333.333333333</v>
      </c>
      <c r="H52" s="74">
        <v>14</v>
      </c>
      <c r="I52" s="94">
        <v>90</v>
      </c>
      <c r="K52" s="124">
        <f>H52*'3)MOCK DATA-CURRENT METHODOLOGY'!$G$49</f>
        <v>75573.481788421443</v>
      </c>
    </row>
    <row r="53" spans="1:11" x14ac:dyDescent="0.25">
      <c r="A53" s="89" t="s">
        <v>148</v>
      </c>
      <c r="B53" s="75" t="s">
        <v>181</v>
      </c>
      <c r="C53" s="105" t="s">
        <v>297</v>
      </c>
      <c r="D53" s="76">
        <v>4580000</v>
      </c>
      <c r="E53" s="76">
        <v>3500000</v>
      </c>
      <c r="F53" s="76">
        <v>6200000</v>
      </c>
      <c r="G53" s="73">
        <f t="shared" si="0"/>
        <v>4760000</v>
      </c>
      <c r="H53" s="74">
        <v>14</v>
      </c>
      <c r="I53" s="94">
        <v>95</v>
      </c>
      <c r="K53" s="124">
        <f>H53*'3)MOCK DATA-CURRENT METHODOLOGY'!$G$49</f>
        <v>75573.481788421443</v>
      </c>
    </row>
    <row r="54" spans="1:11" x14ac:dyDescent="0.25">
      <c r="A54" s="89" t="s">
        <v>148</v>
      </c>
      <c r="B54" s="75" t="s">
        <v>182</v>
      </c>
      <c r="C54" s="105" t="s">
        <v>297</v>
      </c>
      <c r="D54" s="76">
        <v>4200000</v>
      </c>
      <c r="E54" s="76">
        <v>3200000</v>
      </c>
      <c r="F54" s="76">
        <v>4200000</v>
      </c>
      <c r="G54" s="73">
        <f t="shared" si="0"/>
        <v>3866666.6666666665</v>
      </c>
      <c r="H54" s="74">
        <v>12</v>
      </c>
      <c r="I54" s="94">
        <v>90</v>
      </c>
      <c r="K54" s="124">
        <f>H54*'3)MOCK DATA-CURRENT METHODOLOGY'!$G$49</f>
        <v>64777.27010436124</v>
      </c>
    </row>
    <row r="55" spans="1:11" x14ac:dyDescent="0.25">
      <c r="A55" s="89" t="s">
        <v>148</v>
      </c>
      <c r="B55" s="75" t="s">
        <v>183</v>
      </c>
      <c r="C55" s="105" t="s">
        <v>297</v>
      </c>
      <c r="D55" s="79">
        <v>4658000</v>
      </c>
      <c r="E55" s="79">
        <v>1300000</v>
      </c>
      <c r="F55" s="79">
        <v>4500000</v>
      </c>
      <c r="G55" s="73">
        <f t="shared" si="0"/>
        <v>3486000</v>
      </c>
      <c r="H55" s="74">
        <v>14</v>
      </c>
      <c r="I55" s="94">
        <v>92</v>
      </c>
      <c r="K55" s="124">
        <f>H55*'3)MOCK DATA-CURRENT METHODOLOGY'!$G$49</f>
        <v>75573.481788421443</v>
      </c>
    </row>
    <row r="56" spans="1:11" x14ac:dyDescent="0.25">
      <c r="A56" s="89" t="s">
        <v>148</v>
      </c>
      <c r="B56" s="75" t="s">
        <v>184</v>
      </c>
      <c r="C56" s="105" t="s">
        <v>297</v>
      </c>
      <c r="D56" s="76">
        <v>3800000</v>
      </c>
      <c r="E56" s="76">
        <v>1370000</v>
      </c>
      <c r="F56" s="76">
        <v>3900000</v>
      </c>
      <c r="G56" s="73">
        <f t="shared" ref="G56:G87" si="1">AVERAGE(D56:F56)</f>
        <v>3023333.3333333335</v>
      </c>
      <c r="H56" s="74">
        <v>15</v>
      </c>
      <c r="I56" s="94">
        <v>72</v>
      </c>
      <c r="K56" s="124">
        <f>H56*'3)MOCK DATA-CURRENT METHODOLOGY'!$G$49</f>
        <v>80971.587630451555</v>
      </c>
    </row>
    <row r="57" spans="1:11" x14ac:dyDescent="0.25">
      <c r="A57" s="89" t="s">
        <v>148</v>
      </c>
      <c r="B57" s="75" t="s">
        <v>185</v>
      </c>
      <c r="C57" s="105" t="s">
        <v>297</v>
      </c>
      <c r="D57" s="76">
        <v>4350000</v>
      </c>
      <c r="E57" s="76">
        <v>1500000</v>
      </c>
      <c r="F57" s="76">
        <v>3200000</v>
      </c>
      <c r="G57" s="73">
        <f t="shared" si="1"/>
        <v>3016666.6666666665</v>
      </c>
      <c r="H57" s="74">
        <v>11</v>
      </c>
      <c r="I57" s="94">
        <v>40</v>
      </c>
      <c r="K57" s="124">
        <f>H57*'3)MOCK DATA-CURRENT METHODOLOGY'!$G$49</f>
        <v>59379.164262331135</v>
      </c>
    </row>
    <row r="58" spans="1:11" x14ac:dyDescent="0.25">
      <c r="A58" s="89" t="s">
        <v>148</v>
      </c>
      <c r="B58" s="75" t="s">
        <v>186</v>
      </c>
      <c r="C58" s="105" t="s">
        <v>297</v>
      </c>
      <c r="D58" s="76">
        <v>3000000</v>
      </c>
      <c r="E58" s="76">
        <v>1600000</v>
      </c>
      <c r="F58" s="76">
        <v>3500000</v>
      </c>
      <c r="G58" s="73">
        <f t="shared" si="1"/>
        <v>2700000</v>
      </c>
      <c r="H58" s="74">
        <v>13</v>
      </c>
      <c r="I58" s="94">
        <v>55</v>
      </c>
      <c r="K58" s="124">
        <f>H58*'3)MOCK DATA-CURRENT METHODOLOGY'!$G$49</f>
        <v>70175.375946391345</v>
      </c>
    </row>
    <row r="59" spans="1:11" x14ac:dyDescent="0.25">
      <c r="A59" s="89" t="s">
        <v>148</v>
      </c>
      <c r="B59" s="75" t="s">
        <v>187</v>
      </c>
      <c r="C59" s="105" t="s">
        <v>297</v>
      </c>
      <c r="D59" s="76">
        <v>1000000</v>
      </c>
      <c r="E59" s="76">
        <v>2500000</v>
      </c>
      <c r="F59" s="76">
        <v>3750000</v>
      </c>
      <c r="G59" s="73">
        <f t="shared" si="1"/>
        <v>2416666.6666666665</v>
      </c>
      <c r="H59" s="74">
        <v>12</v>
      </c>
      <c r="I59" s="94">
        <v>48</v>
      </c>
      <c r="K59" s="124">
        <f>H59*'3)MOCK DATA-CURRENT METHODOLOGY'!$G$49</f>
        <v>64777.27010436124</v>
      </c>
    </row>
    <row r="60" spans="1:11" x14ac:dyDescent="0.25">
      <c r="A60" s="89" t="s">
        <v>148</v>
      </c>
      <c r="B60" s="75" t="s">
        <v>188</v>
      </c>
      <c r="C60" s="105" t="s">
        <v>297</v>
      </c>
      <c r="D60" s="76">
        <v>1205000</v>
      </c>
      <c r="E60" s="76">
        <v>575000</v>
      </c>
      <c r="F60" s="76">
        <v>4750000</v>
      </c>
      <c r="G60" s="73">
        <f t="shared" si="1"/>
        <v>2176666.6666666665</v>
      </c>
      <c r="H60" s="74">
        <v>10</v>
      </c>
      <c r="I60" s="94">
        <v>30</v>
      </c>
      <c r="K60" s="124">
        <f>H60*'3)MOCK DATA-CURRENT METHODOLOGY'!$G$49</f>
        <v>53981.058420301037</v>
      </c>
    </row>
    <row r="61" spans="1:11" x14ac:dyDescent="0.25">
      <c r="A61" s="89" t="s">
        <v>148</v>
      </c>
      <c r="B61" s="75" t="s">
        <v>189</v>
      </c>
      <c r="C61" s="105" t="s">
        <v>297</v>
      </c>
      <c r="D61" s="76">
        <v>2400000</v>
      </c>
      <c r="E61" s="76">
        <v>1050000</v>
      </c>
      <c r="F61" s="76">
        <v>1025000</v>
      </c>
      <c r="G61" s="73">
        <f t="shared" si="1"/>
        <v>1491666.6666666667</v>
      </c>
      <c r="H61" s="74">
        <v>10</v>
      </c>
      <c r="I61" s="94">
        <v>28</v>
      </c>
      <c r="K61" s="124">
        <f>H61*'3)MOCK DATA-CURRENT METHODOLOGY'!$G$49</f>
        <v>53981.058420301037</v>
      </c>
    </row>
    <row r="62" spans="1:11" x14ac:dyDescent="0.25">
      <c r="A62" s="89" t="s">
        <v>148</v>
      </c>
      <c r="B62" s="75" t="s">
        <v>190</v>
      </c>
      <c r="C62" s="105" t="s">
        <v>297</v>
      </c>
      <c r="D62" s="76">
        <v>1750000</v>
      </c>
      <c r="E62" s="76">
        <v>1500000</v>
      </c>
      <c r="F62" s="76">
        <v>1125000</v>
      </c>
      <c r="G62" s="73">
        <f t="shared" si="1"/>
        <v>1458333.3333333333</v>
      </c>
      <c r="H62" s="74">
        <v>10</v>
      </c>
      <c r="I62" s="94">
        <v>30</v>
      </c>
      <c r="K62" s="124">
        <f>H62*'3)MOCK DATA-CURRENT METHODOLOGY'!$G$49</f>
        <v>53981.058420301037</v>
      </c>
    </row>
    <row r="63" spans="1:11" x14ac:dyDescent="0.25">
      <c r="A63" s="89" t="s">
        <v>148</v>
      </c>
      <c r="B63" s="75" t="s">
        <v>191</v>
      </c>
      <c r="C63" s="105" t="s">
        <v>297</v>
      </c>
      <c r="D63" s="76">
        <v>0</v>
      </c>
      <c r="E63" s="76">
        <v>980000</v>
      </c>
      <c r="F63" s="76">
        <v>3200000</v>
      </c>
      <c r="G63" s="73">
        <f t="shared" si="1"/>
        <v>1393333.3333333333</v>
      </c>
      <c r="H63" s="74">
        <v>10</v>
      </c>
      <c r="I63" s="94">
        <v>35</v>
      </c>
      <c r="K63" s="124">
        <f>H63*'3)MOCK DATA-CURRENT METHODOLOGY'!$G$49</f>
        <v>53981.058420301037</v>
      </c>
    </row>
    <row r="64" spans="1:11" x14ac:dyDescent="0.25">
      <c r="A64" s="89" t="s">
        <v>148</v>
      </c>
      <c r="B64" s="75" t="s">
        <v>192</v>
      </c>
      <c r="C64" s="105" t="s">
        <v>297</v>
      </c>
      <c r="D64" s="76">
        <v>1400000</v>
      </c>
      <c r="E64" s="76">
        <v>1200000</v>
      </c>
      <c r="F64" s="76">
        <v>1300000</v>
      </c>
      <c r="G64" s="73">
        <f t="shared" si="1"/>
        <v>1300000</v>
      </c>
      <c r="H64" s="74">
        <v>10</v>
      </c>
      <c r="I64" s="94">
        <v>32</v>
      </c>
      <c r="K64" s="124">
        <f>H64*'3)MOCK DATA-CURRENT METHODOLOGY'!$G$49</f>
        <v>53981.058420301037</v>
      </c>
    </row>
    <row r="65" spans="1:11" x14ac:dyDescent="0.25">
      <c r="A65" s="89" t="s">
        <v>148</v>
      </c>
      <c r="B65" s="75" t="s">
        <v>193</v>
      </c>
      <c r="C65" s="105" t="s">
        <v>297</v>
      </c>
      <c r="D65" s="76">
        <v>2000000</v>
      </c>
      <c r="E65" s="76">
        <v>790000</v>
      </c>
      <c r="F65" s="76">
        <v>1000000</v>
      </c>
      <c r="G65" s="73">
        <f t="shared" si="1"/>
        <v>1263333.3333333333</v>
      </c>
      <c r="H65" s="74">
        <v>7</v>
      </c>
      <c r="I65" s="94">
        <v>30</v>
      </c>
      <c r="K65" s="124">
        <f>H65*'3)MOCK DATA-CURRENT METHODOLOGY'!$G$49</f>
        <v>37786.740894210721</v>
      </c>
    </row>
    <row r="66" spans="1:11" x14ac:dyDescent="0.25">
      <c r="A66" s="89" t="s">
        <v>148</v>
      </c>
      <c r="B66" s="75" t="s">
        <v>194</v>
      </c>
      <c r="C66" s="105" t="s">
        <v>297</v>
      </c>
      <c r="D66" s="76">
        <v>1375000</v>
      </c>
      <c r="E66" s="76">
        <v>950000</v>
      </c>
      <c r="F66" s="76">
        <v>1300000</v>
      </c>
      <c r="G66" s="73">
        <f t="shared" si="1"/>
        <v>1208333.3333333333</v>
      </c>
      <c r="H66" s="74">
        <v>7</v>
      </c>
      <c r="I66" s="94">
        <v>30</v>
      </c>
      <c r="K66" s="124">
        <f>H66*'3)MOCK DATA-CURRENT METHODOLOGY'!$G$49</f>
        <v>37786.740894210721</v>
      </c>
    </row>
    <row r="67" spans="1:11" x14ac:dyDescent="0.25">
      <c r="A67" s="89" t="s">
        <v>148</v>
      </c>
      <c r="B67" s="75" t="s">
        <v>195</v>
      </c>
      <c r="C67" s="105" t="s">
        <v>297</v>
      </c>
      <c r="D67" s="76">
        <v>1110000</v>
      </c>
      <c r="E67" s="76">
        <v>1100000</v>
      </c>
      <c r="F67" s="76">
        <v>1100000</v>
      </c>
      <c r="G67" s="73">
        <f t="shared" si="1"/>
        <v>1103333.3333333333</v>
      </c>
      <c r="H67" s="74">
        <v>6</v>
      </c>
      <c r="I67" s="94">
        <v>25</v>
      </c>
      <c r="K67" s="124">
        <f>H67*'3)MOCK DATA-CURRENT METHODOLOGY'!$G$49</f>
        <v>32388.63505218062</v>
      </c>
    </row>
    <row r="68" spans="1:11" x14ac:dyDescent="0.25">
      <c r="A68" s="89" t="s">
        <v>148</v>
      </c>
      <c r="B68" s="75" t="s">
        <v>196</v>
      </c>
      <c r="C68" s="105" t="s">
        <v>297</v>
      </c>
      <c r="D68" s="76">
        <v>1500000</v>
      </c>
      <c r="E68" s="76">
        <v>750000</v>
      </c>
      <c r="F68" s="76">
        <v>1000000</v>
      </c>
      <c r="G68" s="73">
        <f t="shared" si="1"/>
        <v>1083333.3333333333</v>
      </c>
      <c r="H68" s="74">
        <v>6</v>
      </c>
      <c r="I68" s="94">
        <v>25</v>
      </c>
      <c r="K68" s="124">
        <f>H68*'3)MOCK DATA-CURRENT METHODOLOGY'!$G$49</f>
        <v>32388.63505218062</v>
      </c>
    </row>
    <row r="69" spans="1:11" x14ac:dyDescent="0.25">
      <c r="A69" s="89" t="s">
        <v>148</v>
      </c>
      <c r="B69" s="75" t="s">
        <v>197</v>
      </c>
      <c r="C69" s="105" t="s">
        <v>297</v>
      </c>
      <c r="D69" s="76">
        <v>0</v>
      </c>
      <c r="E69" s="76">
        <v>1750000</v>
      </c>
      <c r="F69" s="76">
        <v>1450000</v>
      </c>
      <c r="G69" s="73">
        <f t="shared" si="1"/>
        <v>1066666.6666666667</v>
      </c>
      <c r="H69" s="74">
        <v>4</v>
      </c>
      <c r="I69" s="94">
        <v>10</v>
      </c>
      <c r="K69" s="124">
        <f>H69*'3)MOCK DATA-CURRENT METHODOLOGY'!$G$49</f>
        <v>21592.423368120413</v>
      </c>
    </row>
    <row r="70" spans="1:11" x14ac:dyDescent="0.25">
      <c r="A70" s="89" t="s">
        <v>148</v>
      </c>
      <c r="B70" s="75" t="s">
        <v>198</v>
      </c>
      <c r="C70" s="105" t="s">
        <v>297</v>
      </c>
      <c r="D70" s="76">
        <v>999000</v>
      </c>
      <c r="E70" s="76">
        <v>999000</v>
      </c>
      <c r="F70" s="76">
        <v>1200000</v>
      </c>
      <c r="G70" s="73">
        <f t="shared" si="1"/>
        <v>1066000</v>
      </c>
      <c r="H70" s="74">
        <v>6</v>
      </c>
      <c r="I70" s="94">
        <v>20</v>
      </c>
      <c r="K70" s="124">
        <f>H70*'3)MOCK DATA-CURRENT METHODOLOGY'!$G$49</f>
        <v>32388.63505218062</v>
      </c>
    </row>
    <row r="71" spans="1:11" x14ac:dyDescent="0.25">
      <c r="A71" s="89" t="s">
        <v>148</v>
      </c>
      <c r="B71" s="75" t="s">
        <v>199</v>
      </c>
      <c r="C71" s="105" t="s">
        <v>297</v>
      </c>
      <c r="D71" s="76">
        <v>1300000</v>
      </c>
      <c r="E71" s="76">
        <v>750000</v>
      </c>
      <c r="F71" s="76">
        <v>750000</v>
      </c>
      <c r="G71" s="73">
        <f t="shared" si="1"/>
        <v>933333.33333333337</v>
      </c>
      <c r="H71" s="74">
        <v>5</v>
      </c>
      <c r="I71" s="94">
        <v>18</v>
      </c>
      <c r="K71" s="124">
        <f>H71*'3)MOCK DATA-CURRENT METHODOLOGY'!$G$49</f>
        <v>26990.529210150518</v>
      </c>
    </row>
    <row r="72" spans="1:11" x14ac:dyDescent="0.25">
      <c r="A72" s="89" t="s">
        <v>148</v>
      </c>
      <c r="B72" s="75" t="s">
        <v>200</v>
      </c>
      <c r="C72" s="105" t="s">
        <v>297</v>
      </c>
      <c r="D72" s="76">
        <v>250000</v>
      </c>
      <c r="E72" s="76">
        <v>1200000</v>
      </c>
      <c r="F72" s="76">
        <v>1254000</v>
      </c>
      <c r="G72" s="73">
        <f t="shared" si="1"/>
        <v>901333.33333333337</v>
      </c>
      <c r="H72" s="74">
        <v>4</v>
      </c>
      <c r="I72" s="94">
        <v>10</v>
      </c>
      <c r="K72" s="124">
        <f>H72*'3)MOCK DATA-CURRENT METHODOLOGY'!$G$49</f>
        <v>21592.423368120413</v>
      </c>
    </row>
    <row r="73" spans="1:11" x14ac:dyDescent="0.25">
      <c r="A73" s="89" t="s">
        <v>148</v>
      </c>
      <c r="B73" s="75" t="s">
        <v>201</v>
      </c>
      <c r="C73" s="105" t="s">
        <v>297</v>
      </c>
      <c r="D73" s="76">
        <v>1500000</v>
      </c>
      <c r="E73" s="76">
        <v>700000</v>
      </c>
      <c r="F73" s="76">
        <v>450000</v>
      </c>
      <c r="G73" s="73">
        <f t="shared" si="1"/>
        <v>883333.33333333337</v>
      </c>
      <c r="H73" s="74">
        <v>4</v>
      </c>
      <c r="I73" s="94">
        <v>10</v>
      </c>
      <c r="K73" s="124">
        <f>H73*'3)MOCK DATA-CURRENT METHODOLOGY'!$G$49</f>
        <v>21592.423368120413</v>
      </c>
    </row>
    <row r="74" spans="1:11" x14ac:dyDescent="0.25">
      <c r="A74" s="89" t="s">
        <v>148</v>
      </c>
      <c r="B74" s="75" t="s">
        <v>202</v>
      </c>
      <c r="C74" s="105" t="s">
        <v>297</v>
      </c>
      <c r="D74" s="76">
        <v>900000</v>
      </c>
      <c r="E74" s="76">
        <v>750000</v>
      </c>
      <c r="F74" s="76">
        <v>750000</v>
      </c>
      <c r="G74" s="73">
        <f t="shared" si="1"/>
        <v>800000</v>
      </c>
      <c r="H74" s="74">
        <v>5</v>
      </c>
      <c r="I74" s="94">
        <v>10</v>
      </c>
      <c r="K74" s="124">
        <f>H74*'3)MOCK DATA-CURRENT METHODOLOGY'!$G$49</f>
        <v>26990.529210150518</v>
      </c>
    </row>
    <row r="75" spans="1:11" x14ac:dyDescent="0.25">
      <c r="A75" s="89" t="s">
        <v>148</v>
      </c>
      <c r="B75" s="75" t="s">
        <v>203</v>
      </c>
      <c r="C75" s="105" t="s">
        <v>297</v>
      </c>
      <c r="D75" s="76">
        <v>0</v>
      </c>
      <c r="E75" s="76">
        <v>890000</v>
      </c>
      <c r="F75" s="76">
        <v>1200000</v>
      </c>
      <c r="G75" s="73">
        <f t="shared" si="1"/>
        <v>696666.66666666663</v>
      </c>
      <c r="H75" s="74">
        <v>5</v>
      </c>
      <c r="I75" s="94">
        <v>10</v>
      </c>
      <c r="K75" s="124">
        <f>H75*'3)MOCK DATA-CURRENT METHODOLOGY'!$G$49</f>
        <v>26990.529210150518</v>
      </c>
    </row>
    <row r="76" spans="1:11" x14ac:dyDescent="0.25">
      <c r="A76" s="89" t="s">
        <v>148</v>
      </c>
      <c r="B76" s="75" t="s">
        <v>204</v>
      </c>
      <c r="C76" s="105" t="s">
        <v>297</v>
      </c>
      <c r="D76" s="76">
        <v>650000</v>
      </c>
      <c r="E76" s="76">
        <v>300000</v>
      </c>
      <c r="F76" s="76">
        <v>675000</v>
      </c>
      <c r="G76" s="73">
        <f t="shared" si="1"/>
        <v>541666.66666666663</v>
      </c>
      <c r="H76" s="74">
        <v>5</v>
      </c>
      <c r="I76" s="94">
        <v>8</v>
      </c>
      <c r="K76" s="124">
        <f>H76*'3)MOCK DATA-CURRENT METHODOLOGY'!$G$49</f>
        <v>26990.529210150518</v>
      </c>
    </row>
    <row r="77" spans="1:11" x14ac:dyDescent="0.25">
      <c r="A77" s="89" t="s">
        <v>148</v>
      </c>
      <c r="B77" s="75" t="s">
        <v>205</v>
      </c>
      <c r="C77" s="105" t="s">
        <v>297</v>
      </c>
      <c r="D77" s="76">
        <v>590000</v>
      </c>
      <c r="E77" s="76">
        <v>455000</v>
      </c>
      <c r="F77" s="76">
        <v>475000</v>
      </c>
      <c r="G77" s="73">
        <f t="shared" si="1"/>
        <v>506666.66666666669</v>
      </c>
      <c r="H77" s="74">
        <v>4</v>
      </c>
      <c r="I77" s="94">
        <v>7</v>
      </c>
      <c r="K77" s="124">
        <f>H77*'3)MOCK DATA-CURRENT METHODOLOGY'!$G$49</f>
        <v>21592.423368120413</v>
      </c>
    </row>
    <row r="78" spans="1:11" x14ac:dyDescent="0.25">
      <c r="A78" s="89" t="s">
        <v>148</v>
      </c>
      <c r="B78" s="75" t="s">
        <v>206</v>
      </c>
      <c r="C78" s="105" t="s">
        <v>297</v>
      </c>
      <c r="D78" s="76">
        <v>17181</v>
      </c>
      <c r="E78" s="76">
        <v>650000</v>
      </c>
      <c r="F78" s="76">
        <v>795000</v>
      </c>
      <c r="G78" s="73">
        <f t="shared" si="1"/>
        <v>487393.66666666669</v>
      </c>
      <c r="H78" s="74">
        <v>4</v>
      </c>
      <c r="I78" s="94">
        <v>7</v>
      </c>
      <c r="K78" s="124">
        <f>H78*'3)MOCK DATA-CURRENT METHODOLOGY'!$G$49</f>
        <v>21592.423368120413</v>
      </c>
    </row>
    <row r="79" spans="1:11" x14ac:dyDescent="0.25">
      <c r="A79" s="89" t="s">
        <v>148</v>
      </c>
      <c r="B79" s="75" t="s">
        <v>207</v>
      </c>
      <c r="C79" s="105" t="s">
        <v>297</v>
      </c>
      <c r="D79" s="76">
        <v>679000</v>
      </c>
      <c r="E79" s="76">
        <v>0</v>
      </c>
      <c r="F79" s="76">
        <v>540000</v>
      </c>
      <c r="G79" s="73">
        <f t="shared" si="1"/>
        <v>406333.33333333331</v>
      </c>
      <c r="H79" s="74">
        <v>4</v>
      </c>
      <c r="I79" s="94">
        <v>7</v>
      </c>
      <c r="K79" s="124">
        <f>H79*'3)MOCK DATA-CURRENT METHODOLOGY'!$G$49</f>
        <v>21592.423368120413</v>
      </c>
    </row>
    <row r="80" spans="1:11" x14ac:dyDescent="0.25">
      <c r="A80" s="89" t="s">
        <v>148</v>
      </c>
      <c r="B80" s="75" t="s">
        <v>208</v>
      </c>
      <c r="C80" s="105" t="s">
        <v>297</v>
      </c>
      <c r="D80" s="76">
        <v>400000</v>
      </c>
      <c r="E80" s="76">
        <v>275000</v>
      </c>
      <c r="F80" s="76">
        <v>275000</v>
      </c>
      <c r="G80" s="73">
        <f t="shared" si="1"/>
        <v>316666.66666666669</v>
      </c>
      <c r="H80" s="74">
        <v>4</v>
      </c>
      <c r="I80" s="94">
        <v>7</v>
      </c>
      <c r="K80" s="124">
        <f>H80*'3)MOCK DATA-CURRENT METHODOLOGY'!$G$49</f>
        <v>21592.423368120413</v>
      </c>
    </row>
    <row r="81" spans="1:11" x14ac:dyDescent="0.25">
      <c r="A81" s="89" t="s">
        <v>148</v>
      </c>
      <c r="B81" s="75" t="s">
        <v>209</v>
      </c>
      <c r="C81" s="105" t="s">
        <v>297</v>
      </c>
      <c r="D81" s="76">
        <v>614476</v>
      </c>
      <c r="E81" s="76">
        <v>130906</v>
      </c>
      <c r="F81" s="76">
        <v>169138</v>
      </c>
      <c r="G81" s="73">
        <f t="shared" si="1"/>
        <v>304840</v>
      </c>
      <c r="H81" s="74">
        <v>3</v>
      </c>
      <c r="I81" s="94">
        <v>7</v>
      </c>
      <c r="K81" s="124">
        <f>H81*'3)MOCK DATA-CURRENT METHODOLOGY'!$G$49</f>
        <v>16194.31752609031</v>
      </c>
    </row>
    <row r="82" spans="1:11" x14ac:dyDescent="0.25">
      <c r="A82" s="89" t="s">
        <v>148</v>
      </c>
      <c r="B82" s="75" t="s">
        <v>210</v>
      </c>
      <c r="C82" s="105" t="s">
        <v>297</v>
      </c>
      <c r="D82" s="76">
        <v>0</v>
      </c>
      <c r="E82" s="76">
        <v>150000</v>
      </c>
      <c r="F82" s="76">
        <v>750000</v>
      </c>
      <c r="G82" s="73">
        <f t="shared" si="1"/>
        <v>300000</v>
      </c>
      <c r="H82" s="74">
        <v>3</v>
      </c>
      <c r="I82" s="94">
        <v>7</v>
      </c>
      <c r="K82" s="124">
        <f>H82*'3)MOCK DATA-CURRENT METHODOLOGY'!$G$49</f>
        <v>16194.31752609031</v>
      </c>
    </row>
    <row r="83" spans="1:11" x14ac:dyDescent="0.25">
      <c r="A83" s="89" t="s">
        <v>148</v>
      </c>
      <c r="B83" s="75" t="s">
        <v>211</v>
      </c>
      <c r="C83" s="105" t="s">
        <v>297</v>
      </c>
      <c r="D83" s="76">
        <v>460000</v>
      </c>
      <c r="E83" s="76">
        <v>150000</v>
      </c>
      <c r="F83" s="76">
        <v>280000</v>
      </c>
      <c r="G83" s="73">
        <f t="shared" si="1"/>
        <v>296666.66666666669</v>
      </c>
      <c r="H83" s="74">
        <v>2</v>
      </c>
      <c r="I83" s="94">
        <v>5</v>
      </c>
      <c r="K83" s="124">
        <f>H83*'3)MOCK DATA-CURRENT METHODOLOGY'!$G$49</f>
        <v>10796.211684060207</v>
      </c>
    </row>
    <row r="84" spans="1:11" x14ac:dyDescent="0.25">
      <c r="A84" s="89" t="s">
        <v>148</v>
      </c>
      <c r="B84" s="75" t="s">
        <v>212</v>
      </c>
      <c r="C84" s="105" t="s">
        <v>297</v>
      </c>
      <c r="D84" s="76">
        <v>0</v>
      </c>
      <c r="E84" s="76">
        <v>250000</v>
      </c>
      <c r="F84" s="76">
        <v>450000</v>
      </c>
      <c r="G84" s="73">
        <f t="shared" si="1"/>
        <v>233333.33333333334</v>
      </c>
      <c r="H84" s="74">
        <v>2</v>
      </c>
      <c r="I84" s="94">
        <v>5</v>
      </c>
      <c r="K84" s="124">
        <f>H84*'3)MOCK DATA-CURRENT METHODOLOGY'!$G$49</f>
        <v>10796.211684060207</v>
      </c>
    </row>
    <row r="85" spans="1:11" x14ac:dyDescent="0.25">
      <c r="A85" s="89" t="s">
        <v>148</v>
      </c>
      <c r="B85" s="75" t="s">
        <v>213</v>
      </c>
      <c r="C85" s="105" t="s">
        <v>297</v>
      </c>
      <c r="D85" s="76">
        <v>0</v>
      </c>
      <c r="E85" s="76">
        <v>25000</v>
      </c>
      <c r="F85" s="76">
        <v>650000</v>
      </c>
      <c r="G85" s="73">
        <f t="shared" si="1"/>
        <v>225000</v>
      </c>
      <c r="H85" s="74">
        <v>2</v>
      </c>
      <c r="I85" s="94">
        <v>5</v>
      </c>
      <c r="K85" s="124">
        <f>H85*'3)MOCK DATA-CURRENT METHODOLOGY'!$G$49</f>
        <v>10796.211684060207</v>
      </c>
    </row>
    <row r="86" spans="1:11" x14ac:dyDescent="0.25">
      <c r="A86" s="89" t="s">
        <v>148</v>
      </c>
      <c r="B86" s="75" t="s">
        <v>214</v>
      </c>
      <c r="C86" s="105" t="s">
        <v>297</v>
      </c>
      <c r="D86" s="76">
        <v>45225</v>
      </c>
      <c r="E86" s="76">
        <v>8430</v>
      </c>
      <c r="F86" s="76">
        <v>75600</v>
      </c>
      <c r="G86" s="73">
        <f t="shared" si="1"/>
        <v>43085</v>
      </c>
      <c r="H86" s="74">
        <v>1</v>
      </c>
      <c r="I86" s="94">
        <v>5</v>
      </c>
      <c r="K86" s="124">
        <f>H86*'3)MOCK DATA-CURRENT METHODOLOGY'!$G$49</f>
        <v>5398.1058420301033</v>
      </c>
    </row>
    <row r="87" spans="1:11" x14ac:dyDescent="0.25">
      <c r="A87" s="89" t="s">
        <v>148</v>
      </c>
      <c r="B87" s="75" t="s">
        <v>215</v>
      </c>
      <c r="C87" s="75" t="s">
        <v>263</v>
      </c>
      <c r="D87" s="76">
        <v>7560000</v>
      </c>
      <c r="E87" s="76">
        <v>4525000</v>
      </c>
      <c r="F87" s="78">
        <v>0</v>
      </c>
      <c r="G87" s="73">
        <f t="shared" si="1"/>
        <v>4028333.3333333335</v>
      </c>
      <c r="H87" s="74">
        <v>5</v>
      </c>
      <c r="I87" s="94">
        <v>1</v>
      </c>
      <c r="K87" s="125">
        <f>'3)MOCK DATA-CURRENT METHODOLOGY'!$F$49</f>
        <v>2608.8615444079692</v>
      </c>
    </row>
    <row r="88" spans="1:11" x14ac:dyDescent="0.25">
      <c r="A88" s="89" t="s">
        <v>148</v>
      </c>
      <c r="B88" s="75" t="s">
        <v>216</v>
      </c>
      <c r="C88" s="75" t="s">
        <v>263</v>
      </c>
      <c r="D88" s="76">
        <v>5045500</v>
      </c>
      <c r="E88" s="76">
        <v>0</v>
      </c>
      <c r="F88" s="76">
        <v>0</v>
      </c>
      <c r="G88" s="73">
        <f t="shared" ref="G88:G119" si="2">AVERAGE(D88:F88)</f>
        <v>1681833.3333333333</v>
      </c>
      <c r="H88" s="74">
        <v>4</v>
      </c>
      <c r="I88" s="94">
        <v>1</v>
      </c>
      <c r="K88" s="125">
        <f>'3)MOCK DATA-CURRENT METHODOLOGY'!$F$49</f>
        <v>2608.8615444079692</v>
      </c>
    </row>
    <row r="89" spans="1:11" x14ac:dyDescent="0.25">
      <c r="A89" s="89" t="s">
        <v>148</v>
      </c>
      <c r="B89" s="75" t="s">
        <v>217</v>
      </c>
      <c r="C89" s="75" t="s">
        <v>263</v>
      </c>
      <c r="D89" s="79">
        <v>250000</v>
      </c>
      <c r="E89" s="79">
        <v>1300000</v>
      </c>
      <c r="F89" s="79">
        <v>0</v>
      </c>
      <c r="G89" s="73">
        <f t="shared" si="2"/>
        <v>516666.66666666669</v>
      </c>
      <c r="H89" s="74">
        <v>0</v>
      </c>
      <c r="I89" s="94">
        <v>1</v>
      </c>
      <c r="K89" s="125">
        <f>'3)MOCK DATA-CURRENT METHODOLOGY'!$F$49</f>
        <v>2608.8615444079692</v>
      </c>
    </row>
    <row r="90" spans="1:11" x14ac:dyDescent="0.25">
      <c r="A90" s="89" t="s">
        <v>148</v>
      </c>
      <c r="B90" s="75" t="s">
        <v>218</v>
      </c>
      <c r="C90" s="75" t="s">
        <v>263</v>
      </c>
      <c r="D90" s="76">
        <v>0</v>
      </c>
      <c r="E90" s="76">
        <v>0</v>
      </c>
      <c r="F90" s="76">
        <v>0</v>
      </c>
      <c r="G90" s="73">
        <f t="shared" si="2"/>
        <v>0</v>
      </c>
      <c r="H90" s="74">
        <v>0</v>
      </c>
      <c r="I90" s="94">
        <v>1</v>
      </c>
      <c r="K90" s="125">
        <f>'3)MOCK DATA-CURRENT METHODOLOGY'!$F$49</f>
        <v>2608.8615444079692</v>
      </c>
    </row>
    <row r="91" spans="1:11" x14ac:dyDescent="0.25">
      <c r="A91" s="89" t="s">
        <v>148</v>
      </c>
      <c r="B91" s="75" t="s">
        <v>219</v>
      </c>
      <c r="C91" s="75" t="s">
        <v>263</v>
      </c>
      <c r="D91" s="76">
        <v>0</v>
      </c>
      <c r="E91" s="76">
        <v>0</v>
      </c>
      <c r="F91" s="76">
        <v>0</v>
      </c>
      <c r="G91" s="73">
        <f t="shared" si="2"/>
        <v>0</v>
      </c>
      <c r="H91" s="74">
        <v>0</v>
      </c>
      <c r="I91" s="94">
        <v>1</v>
      </c>
      <c r="K91" s="125">
        <f>'3)MOCK DATA-CURRENT METHODOLOGY'!$F$49</f>
        <v>2608.8615444079692</v>
      </c>
    </row>
    <row r="92" spans="1:11" x14ac:dyDescent="0.25">
      <c r="A92" s="89" t="s">
        <v>148</v>
      </c>
      <c r="B92" s="75" t="s">
        <v>220</v>
      </c>
      <c r="C92" s="75" t="s">
        <v>263</v>
      </c>
      <c r="D92" s="76">
        <v>0</v>
      </c>
      <c r="E92" s="76">
        <v>0</v>
      </c>
      <c r="F92" s="76">
        <v>0</v>
      </c>
      <c r="G92" s="73">
        <f t="shared" si="2"/>
        <v>0</v>
      </c>
      <c r="H92" s="74">
        <v>0</v>
      </c>
      <c r="I92" s="94">
        <v>1</v>
      </c>
      <c r="K92" s="125">
        <f>'3)MOCK DATA-CURRENT METHODOLOGY'!$F$49</f>
        <v>2608.8615444079692</v>
      </c>
    </row>
    <row r="93" spans="1:11" x14ac:dyDescent="0.25">
      <c r="A93" s="89" t="s">
        <v>148</v>
      </c>
      <c r="B93" s="75" t="s">
        <v>221</v>
      </c>
      <c r="C93" s="75" t="s">
        <v>263</v>
      </c>
      <c r="D93" s="76">
        <v>0</v>
      </c>
      <c r="E93" s="76">
        <v>0</v>
      </c>
      <c r="F93" s="76">
        <v>0</v>
      </c>
      <c r="G93" s="73">
        <f t="shared" si="2"/>
        <v>0</v>
      </c>
      <c r="H93" s="74">
        <v>1</v>
      </c>
      <c r="I93" s="94">
        <v>1</v>
      </c>
      <c r="K93" s="125">
        <f>'3)MOCK DATA-CURRENT METHODOLOGY'!$F$49</f>
        <v>2608.8615444079692</v>
      </c>
    </row>
    <row r="94" spans="1:11" x14ac:dyDescent="0.25">
      <c r="A94" s="89" t="s">
        <v>148</v>
      </c>
      <c r="B94" s="75" t="s">
        <v>222</v>
      </c>
      <c r="C94" s="75" t="s">
        <v>263</v>
      </c>
      <c r="D94" s="76">
        <v>0</v>
      </c>
      <c r="E94" s="76">
        <v>0</v>
      </c>
      <c r="F94" s="76">
        <v>0</v>
      </c>
      <c r="G94" s="73">
        <f t="shared" si="2"/>
        <v>0</v>
      </c>
      <c r="H94" s="74">
        <v>1</v>
      </c>
      <c r="I94" s="94">
        <v>2</v>
      </c>
      <c r="K94" s="125">
        <f>'3)MOCK DATA-CURRENT METHODOLOGY'!$F$49</f>
        <v>2608.8615444079692</v>
      </c>
    </row>
    <row r="95" spans="1:11" x14ac:dyDescent="0.25">
      <c r="A95" s="89" t="s">
        <v>148</v>
      </c>
      <c r="B95" s="75" t="s">
        <v>223</v>
      </c>
      <c r="C95" s="75" t="s">
        <v>263</v>
      </c>
      <c r="D95" s="76">
        <v>0</v>
      </c>
      <c r="E95" s="76">
        <v>0</v>
      </c>
      <c r="F95" s="76">
        <v>0</v>
      </c>
      <c r="G95" s="73">
        <f t="shared" si="2"/>
        <v>0</v>
      </c>
      <c r="H95" s="74">
        <v>1</v>
      </c>
      <c r="I95" s="94">
        <v>2</v>
      </c>
      <c r="K95" s="125">
        <f>'3)MOCK DATA-CURRENT METHODOLOGY'!$F$49</f>
        <v>2608.8615444079692</v>
      </c>
    </row>
    <row r="96" spans="1:11" x14ac:dyDescent="0.25">
      <c r="A96" s="89" t="s">
        <v>148</v>
      </c>
      <c r="B96" s="75" t="s">
        <v>224</v>
      </c>
      <c r="C96" s="75" t="s">
        <v>263</v>
      </c>
      <c r="D96" s="76">
        <v>0</v>
      </c>
      <c r="E96" s="76">
        <v>0</v>
      </c>
      <c r="F96" s="76">
        <v>0</v>
      </c>
      <c r="G96" s="73">
        <f t="shared" si="2"/>
        <v>0</v>
      </c>
      <c r="H96" s="74">
        <v>1</v>
      </c>
      <c r="I96" s="94">
        <v>2</v>
      </c>
      <c r="K96" s="125">
        <f>'3)MOCK DATA-CURRENT METHODOLOGY'!$F$49</f>
        <v>2608.8615444079692</v>
      </c>
    </row>
    <row r="97" spans="1:11" x14ac:dyDescent="0.25">
      <c r="A97" s="89" t="s">
        <v>148</v>
      </c>
      <c r="B97" s="75" t="s">
        <v>225</v>
      </c>
      <c r="C97" s="75" t="s">
        <v>263</v>
      </c>
      <c r="D97" s="76">
        <v>0</v>
      </c>
      <c r="E97" s="76">
        <v>0</v>
      </c>
      <c r="F97" s="76">
        <v>0</v>
      </c>
      <c r="G97" s="73">
        <f t="shared" si="2"/>
        <v>0</v>
      </c>
      <c r="H97" s="74">
        <v>1</v>
      </c>
      <c r="I97" s="94">
        <v>1</v>
      </c>
      <c r="K97" s="125">
        <f>'3)MOCK DATA-CURRENT METHODOLOGY'!$F$49</f>
        <v>2608.8615444079692</v>
      </c>
    </row>
    <row r="98" spans="1:11" x14ac:dyDescent="0.25">
      <c r="A98" s="89" t="s">
        <v>148</v>
      </c>
      <c r="B98" s="75" t="s">
        <v>226</v>
      </c>
      <c r="C98" s="75" t="s">
        <v>263</v>
      </c>
      <c r="D98" s="76">
        <v>0</v>
      </c>
      <c r="E98" s="76">
        <v>0</v>
      </c>
      <c r="F98" s="76">
        <v>0</v>
      </c>
      <c r="G98" s="73">
        <f t="shared" si="2"/>
        <v>0</v>
      </c>
      <c r="H98" s="74">
        <v>1</v>
      </c>
      <c r="I98" s="94">
        <v>1</v>
      </c>
      <c r="K98" s="125">
        <f>'3)MOCK DATA-CURRENT METHODOLOGY'!$F$49</f>
        <v>2608.8615444079692</v>
      </c>
    </row>
    <row r="99" spans="1:11" x14ac:dyDescent="0.25">
      <c r="A99" s="89" t="s">
        <v>148</v>
      </c>
      <c r="B99" s="75" t="s">
        <v>227</v>
      </c>
      <c r="C99" s="75" t="s">
        <v>263</v>
      </c>
      <c r="D99" s="76">
        <v>0</v>
      </c>
      <c r="E99" s="76">
        <v>0</v>
      </c>
      <c r="F99" s="76">
        <v>0</v>
      </c>
      <c r="G99" s="73">
        <f t="shared" si="2"/>
        <v>0</v>
      </c>
      <c r="H99" s="74">
        <v>8</v>
      </c>
      <c r="I99" s="94">
        <v>1</v>
      </c>
      <c r="K99" s="125">
        <f>'3)MOCK DATA-CURRENT METHODOLOGY'!$F$49</f>
        <v>2608.8615444079692</v>
      </c>
    </row>
    <row r="100" spans="1:11" x14ac:dyDescent="0.25">
      <c r="A100" s="89" t="s">
        <v>148</v>
      </c>
      <c r="B100" s="75" t="s">
        <v>228</v>
      </c>
      <c r="C100" s="75" t="s">
        <v>263</v>
      </c>
      <c r="D100" s="76">
        <v>0</v>
      </c>
      <c r="E100" s="76">
        <v>0</v>
      </c>
      <c r="F100" s="76">
        <v>0</v>
      </c>
      <c r="G100" s="73">
        <f t="shared" si="2"/>
        <v>0</v>
      </c>
      <c r="H100" s="74">
        <v>5</v>
      </c>
      <c r="I100" s="94">
        <v>1</v>
      </c>
      <c r="K100" s="125">
        <f>'3)MOCK DATA-CURRENT METHODOLOGY'!$F$49</f>
        <v>2608.8615444079692</v>
      </c>
    </row>
    <row r="101" spans="1:11" x14ac:dyDescent="0.25">
      <c r="A101" s="89" t="s">
        <v>148</v>
      </c>
      <c r="B101" s="75" t="s">
        <v>229</v>
      </c>
      <c r="C101" s="75" t="s">
        <v>263</v>
      </c>
      <c r="D101" s="76">
        <v>0</v>
      </c>
      <c r="E101" s="76">
        <v>0</v>
      </c>
      <c r="F101" s="76">
        <v>0</v>
      </c>
      <c r="G101" s="73">
        <f t="shared" si="2"/>
        <v>0</v>
      </c>
      <c r="H101" s="74">
        <v>5</v>
      </c>
      <c r="I101" s="94">
        <v>1</v>
      </c>
      <c r="K101" s="125">
        <f>'3)MOCK DATA-CURRENT METHODOLOGY'!$F$49</f>
        <v>2608.8615444079692</v>
      </c>
    </row>
    <row r="102" spans="1:11" x14ac:dyDescent="0.25">
      <c r="A102" s="89" t="s">
        <v>148</v>
      </c>
      <c r="B102" s="75" t="s">
        <v>230</v>
      </c>
      <c r="C102" s="75" t="s">
        <v>263</v>
      </c>
      <c r="D102" s="76">
        <v>0</v>
      </c>
      <c r="E102" s="76">
        <v>0</v>
      </c>
      <c r="F102" s="76">
        <v>0</v>
      </c>
      <c r="G102" s="73">
        <f t="shared" si="2"/>
        <v>0</v>
      </c>
      <c r="H102" s="74">
        <v>0</v>
      </c>
      <c r="I102" s="94">
        <v>1</v>
      </c>
      <c r="K102" s="125">
        <f>'3)MOCK DATA-CURRENT METHODOLOGY'!$F$49</f>
        <v>2608.8615444079692</v>
      </c>
    </row>
    <row r="103" spans="1:11" x14ac:dyDescent="0.25">
      <c r="A103" s="89" t="s">
        <v>148</v>
      </c>
      <c r="B103" s="75" t="s">
        <v>231</v>
      </c>
      <c r="C103" s="75" t="s">
        <v>263</v>
      </c>
      <c r="D103" s="76">
        <v>0</v>
      </c>
      <c r="E103" s="76">
        <v>0</v>
      </c>
      <c r="F103" s="76">
        <v>0</v>
      </c>
      <c r="G103" s="73">
        <f t="shared" si="2"/>
        <v>0</v>
      </c>
      <c r="H103" s="74">
        <v>0</v>
      </c>
      <c r="I103" s="94">
        <v>1</v>
      </c>
      <c r="K103" s="125">
        <f>'3)MOCK DATA-CURRENT METHODOLOGY'!$F$49</f>
        <v>2608.8615444079692</v>
      </c>
    </row>
    <row r="104" spans="1:11" x14ac:dyDescent="0.25">
      <c r="A104" s="90" t="s">
        <v>149</v>
      </c>
      <c r="B104" s="75" t="s">
        <v>232</v>
      </c>
      <c r="C104" s="105" t="s">
        <v>297</v>
      </c>
      <c r="D104" s="80">
        <v>200000000</v>
      </c>
      <c r="E104" s="80">
        <v>182500000</v>
      </c>
      <c r="F104" s="80">
        <v>250000000</v>
      </c>
      <c r="G104" s="73">
        <f t="shared" si="2"/>
        <v>210833333.33333334</v>
      </c>
      <c r="H104" s="81" t="s">
        <v>271</v>
      </c>
      <c r="I104" s="94">
        <v>2500</v>
      </c>
      <c r="K104" s="125">
        <f>I104*'3)MOCK DATA-CURRENT METHODOLOGY'!$G$50</f>
        <v>2382981.1237147995</v>
      </c>
    </row>
    <row r="105" spans="1:11" x14ac:dyDescent="0.25">
      <c r="A105" s="90" t="s">
        <v>149</v>
      </c>
      <c r="B105" s="75" t="s">
        <v>233</v>
      </c>
      <c r="C105" s="105" t="s">
        <v>297</v>
      </c>
      <c r="D105" s="80">
        <v>145000000</v>
      </c>
      <c r="E105" s="80">
        <v>122400000</v>
      </c>
      <c r="F105" s="80">
        <v>122000000</v>
      </c>
      <c r="G105" s="73">
        <f t="shared" si="2"/>
        <v>129800000</v>
      </c>
      <c r="H105" s="81" t="s">
        <v>271</v>
      </c>
      <c r="I105" s="94">
        <v>1570</v>
      </c>
      <c r="K105" s="125">
        <f>I105*'3)MOCK DATA-CURRENT METHODOLOGY'!$G$50</f>
        <v>1496512.145692894</v>
      </c>
    </row>
    <row r="106" spans="1:11" x14ac:dyDescent="0.25">
      <c r="A106" s="90" t="s">
        <v>149</v>
      </c>
      <c r="B106" s="75" t="s">
        <v>234</v>
      </c>
      <c r="C106" s="105" t="s">
        <v>297</v>
      </c>
      <c r="D106" s="80">
        <v>75700000</v>
      </c>
      <c r="E106" s="80">
        <v>68000000</v>
      </c>
      <c r="F106" s="80">
        <v>59750000</v>
      </c>
      <c r="G106" s="73">
        <f t="shared" si="2"/>
        <v>67816666.666666672</v>
      </c>
      <c r="H106" s="81" t="s">
        <v>271</v>
      </c>
      <c r="I106" s="94">
        <v>1200</v>
      </c>
      <c r="K106" s="125">
        <f>I106*'3)MOCK DATA-CURRENT METHODOLOGY'!$G$50</f>
        <v>1143830.9393831037</v>
      </c>
    </row>
    <row r="107" spans="1:11" x14ac:dyDescent="0.25">
      <c r="A107" s="90" t="s">
        <v>149</v>
      </c>
      <c r="B107" s="75" t="s">
        <v>235</v>
      </c>
      <c r="C107" s="105" t="s">
        <v>297</v>
      </c>
      <c r="D107" s="80">
        <v>15000000</v>
      </c>
      <c r="E107" s="80">
        <v>12500000</v>
      </c>
      <c r="F107" s="80">
        <v>13500000</v>
      </c>
      <c r="G107" s="73">
        <f t="shared" si="2"/>
        <v>13666666.666666666</v>
      </c>
      <c r="H107" s="81" t="s">
        <v>271</v>
      </c>
      <c r="I107" s="94">
        <v>1000</v>
      </c>
      <c r="K107" s="125">
        <f>I107*'3)MOCK DATA-CURRENT METHODOLOGY'!$G$50</f>
        <v>953192.44948591967</v>
      </c>
    </row>
    <row r="108" spans="1:11" x14ac:dyDescent="0.25">
      <c r="A108" s="90" t="s">
        <v>149</v>
      </c>
      <c r="B108" s="75" t="s">
        <v>236</v>
      </c>
      <c r="C108" s="105" t="s">
        <v>297</v>
      </c>
      <c r="D108" s="80">
        <v>9765000</v>
      </c>
      <c r="E108" s="80">
        <v>7650000</v>
      </c>
      <c r="F108" s="80">
        <v>6250000</v>
      </c>
      <c r="G108" s="73">
        <f t="shared" si="2"/>
        <v>7888333.333333333</v>
      </c>
      <c r="H108" s="81" t="s">
        <v>271</v>
      </c>
      <c r="I108" s="94">
        <v>650</v>
      </c>
      <c r="K108" s="125">
        <f>I108*'3)MOCK DATA-CURRENT METHODOLOGY'!$G$50</f>
        <v>619575.09216584777</v>
      </c>
    </row>
    <row r="109" spans="1:11" x14ac:dyDescent="0.25">
      <c r="A109" s="90" t="s">
        <v>149</v>
      </c>
      <c r="B109" s="75" t="s">
        <v>237</v>
      </c>
      <c r="C109" s="105" t="s">
        <v>297</v>
      </c>
      <c r="D109" s="80">
        <v>0</v>
      </c>
      <c r="E109" s="80">
        <v>1792620</v>
      </c>
      <c r="F109" s="80">
        <v>21723800</v>
      </c>
      <c r="G109" s="73">
        <f t="shared" si="2"/>
        <v>7838806.666666667</v>
      </c>
      <c r="H109" s="81" t="s">
        <v>271</v>
      </c>
      <c r="I109" s="94">
        <v>500</v>
      </c>
      <c r="K109" s="125">
        <f>I109*'3)MOCK DATA-CURRENT METHODOLOGY'!$G$50</f>
        <v>476596.22474295984</v>
      </c>
    </row>
    <row r="110" spans="1:11" x14ac:dyDescent="0.25">
      <c r="A110" s="90" t="s">
        <v>149</v>
      </c>
      <c r="B110" s="75" t="s">
        <v>238</v>
      </c>
      <c r="C110" s="105" t="s">
        <v>297</v>
      </c>
      <c r="D110" s="80">
        <v>0</v>
      </c>
      <c r="E110" s="80">
        <v>8350000</v>
      </c>
      <c r="F110" s="80">
        <v>8752000</v>
      </c>
      <c r="G110" s="73">
        <f t="shared" si="2"/>
        <v>5700666.666666667</v>
      </c>
      <c r="H110" s="81" t="s">
        <v>271</v>
      </c>
      <c r="I110" s="94">
        <v>450</v>
      </c>
      <c r="K110" s="125">
        <f>I110*'3)MOCK DATA-CURRENT METHODOLOGY'!$G$50</f>
        <v>428936.60226866388</v>
      </c>
    </row>
    <row r="111" spans="1:11" x14ac:dyDescent="0.25">
      <c r="A111" s="90" t="s">
        <v>149</v>
      </c>
      <c r="B111" s="75" t="s">
        <v>239</v>
      </c>
      <c r="C111" s="105" t="s">
        <v>297</v>
      </c>
      <c r="D111" s="82">
        <v>4800000</v>
      </c>
      <c r="E111" s="82">
        <v>3500000</v>
      </c>
      <c r="F111" s="82">
        <v>6500000</v>
      </c>
      <c r="G111" s="73">
        <f t="shared" si="2"/>
        <v>4933333.333333333</v>
      </c>
      <c r="H111" s="81" t="s">
        <v>271</v>
      </c>
      <c r="I111" s="94">
        <v>425</v>
      </c>
      <c r="K111" s="125">
        <f>I111*'3)MOCK DATA-CURRENT METHODOLOGY'!$G$50</f>
        <v>405106.79103151587</v>
      </c>
    </row>
    <row r="112" spans="1:11" x14ac:dyDescent="0.25">
      <c r="A112" s="90" t="s">
        <v>149</v>
      </c>
      <c r="B112" s="75" t="s">
        <v>240</v>
      </c>
      <c r="C112" s="105" t="s">
        <v>297</v>
      </c>
      <c r="D112" s="80">
        <v>2600000</v>
      </c>
      <c r="E112" s="80">
        <v>1500000</v>
      </c>
      <c r="F112" s="80">
        <v>4200000</v>
      </c>
      <c r="G112" s="73">
        <f t="shared" si="2"/>
        <v>2766666.6666666665</v>
      </c>
      <c r="H112" s="81" t="s">
        <v>271</v>
      </c>
      <c r="I112" s="94">
        <v>100</v>
      </c>
      <c r="K112" s="125">
        <f>I112*'3)MOCK DATA-CURRENT METHODOLOGY'!$G$50</f>
        <v>95319.244948591979</v>
      </c>
    </row>
    <row r="113" spans="1:11" x14ac:dyDescent="0.25">
      <c r="A113" s="90" t="s">
        <v>149</v>
      </c>
      <c r="B113" s="75" t="s">
        <v>241</v>
      </c>
      <c r="C113" s="105" t="s">
        <v>297</v>
      </c>
      <c r="D113" s="80">
        <v>57000</v>
      </c>
      <c r="E113" s="80">
        <v>2500000</v>
      </c>
      <c r="F113" s="80">
        <v>3250000</v>
      </c>
      <c r="G113" s="73">
        <f t="shared" si="2"/>
        <v>1935666.6666666667</v>
      </c>
      <c r="H113" s="81" t="s">
        <v>271</v>
      </c>
      <c r="I113" s="94">
        <v>120</v>
      </c>
      <c r="K113" s="125">
        <f>I113*'3)MOCK DATA-CURRENT METHODOLOGY'!$G$50</f>
        <v>114383.09393831037</v>
      </c>
    </row>
    <row r="114" spans="1:11" x14ac:dyDescent="0.25">
      <c r="A114" s="90" t="s">
        <v>149</v>
      </c>
      <c r="B114" s="75" t="s">
        <v>242</v>
      </c>
      <c r="C114" s="105" t="s">
        <v>297</v>
      </c>
      <c r="D114" s="80">
        <v>560000</v>
      </c>
      <c r="E114" s="80">
        <v>2500000</v>
      </c>
      <c r="F114" s="83">
        <v>1800000</v>
      </c>
      <c r="G114" s="73">
        <f t="shared" si="2"/>
        <v>1620000</v>
      </c>
      <c r="H114" s="81" t="s">
        <v>271</v>
      </c>
      <c r="I114" s="94">
        <v>65</v>
      </c>
      <c r="K114" s="125">
        <f>I114*'3)MOCK DATA-CURRENT METHODOLOGY'!$G$50</f>
        <v>61957.509216584782</v>
      </c>
    </row>
    <row r="115" spans="1:11" x14ac:dyDescent="0.25">
      <c r="A115" s="90" t="s">
        <v>149</v>
      </c>
      <c r="B115" s="75" t="s">
        <v>243</v>
      </c>
      <c r="C115" s="105" t="s">
        <v>297</v>
      </c>
      <c r="D115" s="76">
        <v>1750000</v>
      </c>
      <c r="E115" s="76">
        <v>1500000</v>
      </c>
      <c r="F115" s="76">
        <v>1125000</v>
      </c>
      <c r="G115" s="73">
        <f t="shared" si="2"/>
        <v>1458333.3333333333</v>
      </c>
      <c r="H115" s="81" t="s">
        <v>271</v>
      </c>
      <c r="I115" s="94">
        <v>42</v>
      </c>
      <c r="K115" s="125">
        <f>I115*'3)MOCK DATA-CURRENT METHODOLOGY'!$G$50</f>
        <v>40034.082878408626</v>
      </c>
    </row>
    <row r="116" spans="1:11" x14ac:dyDescent="0.25">
      <c r="A116" s="90" t="s">
        <v>149</v>
      </c>
      <c r="B116" s="75" t="s">
        <v>244</v>
      </c>
      <c r="C116" s="105" t="s">
        <v>297</v>
      </c>
      <c r="D116" s="76">
        <v>1205000</v>
      </c>
      <c r="E116" s="76">
        <v>575000</v>
      </c>
      <c r="F116" s="76">
        <v>2690000</v>
      </c>
      <c r="G116" s="73">
        <f t="shared" si="2"/>
        <v>1490000</v>
      </c>
      <c r="H116" s="81" t="s">
        <v>271</v>
      </c>
      <c r="I116" s="94">
        <v>45</v>
      </c>
      <c r="K116" s="125">
        <f>I116*'3)MOCK DATA-CURRENT METHODOLOGY'!$G$50</f>
        <v>42893.660226866385</v>
      </c>
    </row>
    <row r="117" spans="1:11" x14ac:dyDescent="0.25">
      <c r="A117" s="90" t="s">
        <v>149</v>
      </c>
      <c r="B117" s="75" t="s">
        <v>245</v>
      </c>
      <c r="C117" s="105" t="s">
        <v>297</v>
      </c>
      <c r="D117" s="80">
        <v>200000</v>
      </c>
      <c r="E117" s="80">
        <v>750000</v>
      </c>
      <c r="F117" s="80">
        <v>3500000</v>
      </c>
      <c r="G117" s="73">
        <f t="shared" si="2"/>
        <v>1483333.3333333333</v>
      </c>
      <c r="H117" s="81" t="s">
        <v>271</v>
      </c>
      <c r="I117" s="94">
        <v>40</v>
      </c>
      <c r="K117" s="125">
        <f>I117*'3)MOCK DATA-CURRENT METHODOLOGY'!$G$50</f>
        <v>38127.697979436787</v>
      </c>
    </row>
    <row r="118" spans="1:11" x14ac:dyDescent="0.25">
      <c r="A118" s="90" t="s">
        <v>149</v>
      </c>
      <c r="B118" s="75" t="s">
        <v>246</v>
      </c>
      <c r="C118" s="105" t="s">
        <v>297</v>
      </c>
      <c r="D118" s="80">
        <v>3075000</v>
      </c>
      <c r="E118" s="83">
        <v>500000</v>
      </c>
      <c r="F118" s="83">
        <v>350000</v>
      </c>
      <c r="G118" s="73">
        <f t="shared" si="2"/>
        <v>1308333.3333333333</v>
      </c>
      <c r="H118" s="81" t="s">
        <v>271</v>
      </c>
      <c r="I118" s="94">
        <v>35</v>
      </c>
      <c r="K118" s="125">
        <f>I118*'3)MOCK DATA-CURRENT METHODOLOGY'!$G$50</f>
        <v>33361.73573200719</v>
      </c>
    </row>
    <row r="119" spans="1:11" x14ac:dyDescent="0.25">
      <c r="A119" s="90" t="s">
        <v>149</v>
      </c>
      <c r="B119" s="75" t="s">
        <v>247</v>
      </c>
      <c r="C119" s="105" t="s">
        <v>297</v>
      </c>
      <c r="D119" s="80">
        <v>800000</v>
      </c>
      <c r="E119" s="80">
        <v>1500000</v>
      </c>
      <c r="F119" s="83">
        <v>1500000</v>
      </c>
      <c r="G119" s="73">
        <f t="shared" si="2"/>
        <v>1266666.6666666667</v>
      </c>
      <c r="H119" s="81" t="s">
        <v>271</v>
      </c>
      <c r="I119" s="94">
        <v>20</v>
      </c>
      <c r="K119" s="125">
        <f>I119*'3)MOCK DATA-CURRENT METHODOLOGY'!$G$50</f>
        <v>19063.848989718394</v>
      </c>
    </row>
    <row r="120" spans="1:11" x14ac:dyDescent="0.25">
      <c r="A120" s="90" t="s">
        <v>149</v>
      </c>
      <c r="B120" s="75" t="s">
        <v>248</v>
      </c>
      <c r="C120" s="105" t="s">
        <v>297</v>
      </c>
      <c r="D120" s="76">
        <v>1110000</v>
      </c>
      <c r="E120" s="76">
        <v>1100000</v>
      </c>
      <c r="F120" s="76">
        <v>1100000</v>
      </c>
      <c r="G120" s="73">
        <f t="shared" ref="G120:G133" si="3">AVERAGE(D120:F120)</f>
        <v>1103333.3333333333</v>
      </c>
      <c r="H120" s="81" t="s">
        <v>271</v>
      </c>
      <c r="I120" s="94">
        <v>18</v>
      </c>
      <c r="K120" s="125">
        <f>I120*'3)MOCK DATA-CURRENT METHODOLOGY'!$G$50</f>
        <v>17157.464090746555</v>
      </c>
    </row>
    <row r="121" spans="1:11" x14ac:dyDescent="0.25">
      <c r="A121" s="90" t="s">
        <v>149</v>
      </c>
      <c r="B121" s="75" t="s">
        <v>249</v>
      </c>
      <c r="C121" s="105" t="s">
        <v>297</v>
      </c>
      <c r="D121" s="82">
        <v>0</v>
      </c>
      <c r="E121" s="82">
        <v>54000</v>
      </c>
      <c r="F121" s="82">
        <v>3000000</v>
      </c>
      <c r="G121" s="73">
        <f t="shared" si="3"/>
        <v>1018000</v>
      </c>
      <c r="H121" s="81" t="s">
        <v>271</v>
      </c>
      <c r="I121" s="94">
        <v>15</v>
      </c>
      <c r="K121" s="125">
        <f>I121*'3)MOCK DATA-CURRENT METHODOLOGY'!$G$50</f>
        <v>14297.886742288796</v>
      </c>
    </row>
    <row r="122" spans="1:11" x14ac:dyDescent="0.25">
      <c r="A122" s="90" t="s">
        <v>149</v>
      </c>
      <c r="B122" s="75" t="s">
        <v>250</v>
      </c>
      <c r="C122" s="105" t="s">
        <v>297</v>
      </c>
      <c r="D122" s="82">
        <v>1250000</v>
      </c>
      <c r="E122" s="83">
        <v>0</v>
      </c>
      <c r="F122" s="83">
        <v>1500000</v>
      </c>
      <c r="G122" s="73">
        <f t="shared" si="3"/>
        <v>916666.66666666663</v>
      </c>
      <c r="H122" s="81" t="s">
        <v>271</v>
      </c>
      <c r="I122" s="94">
        <v>20</v>
      </c>
      <c r="K122" s="125">
        <f>I122*'3)MOCK DATA-CURRENT METHODOLOGY'!$G$50</f>
        <v>19063.848989718394</v>
      </c>
    </row>
    <row r="123" spans="1:11" x14ac:dyDescent="0.25">
      <c r="A123" s="90" t="s">
        <v>149</v>
      </c>
      <c r="B123" s="75" t="s">
        <v>251</v>
      </c>
      <c r="C123" s="105" t="s">
        <v>297</v>
      </c>
      <c r="D123" s="80">
        <v>0</v>
      </c>
      <c r="E123" s="80">
        <v>675000</v>
      </c>
      <c r="F123" s="80">
        <v>750000</v>
      </c>
      <c r="G123" s="73">
        <f t="shared" si="3"/>
        <v>475000</v>
      </c>
      <c r="H123" s="81" t="s">
        <v>271</v>
      </c>
      <c r="I123" s="94">
        <v>15</v>
      </c>
      <c r="K123" s="125">
        <f>I123*'3)MOCK DATA-CURRENT METHODOLOGY'!$G$50</f>
        <v>14297.886742288796</v>
      </c>
    </row>
    <row r="124" spans="1:11" x14ac:dyDescent="0.25">
      <c r="A124" s="90" t="s">
        <v>149</v>
      </c>
      <c r="B124" s="75" t="s">
        <v>252</v>
      </c>
      <c r="C124" s="105" t="s">
        <v>297</v>
      </c>
      <c r="D124" s="76">
        <v>400000</v>
      </c>
      <c r="E124" s="76">
        <v>275000</v>
      </c>
      <c r="F124" s="76">
        <v>275000</v>
      </c>
      <c r="G124" s="73">
        <f t="shared" si="3"/>
        <v>316666.66666666669</v>
      </c>
      <c r="H124" s="81" t="s">
        <v>271</v>
      </c>
      <c r="I124" s="94">
        <v>12</v>
      </c>
      <c r="K124" s="125">
        <f>I124*'3)MOCK DATA-CURRENT METHODOLOGY'!$G$50</f>
        <v>11438.309393831038</v>
      </c>
    </row>
    <row r="125" spans="1:11" x14ac:dyDescent="0.25">
      <c r="A125" s="90" t="s">
        <v>149</v>
      </c>
      <c r="B125" s="75" t="s">
        <v>253</v>
      </c>
      <c r="C125" s="75" t="s">
        <v>263</v>
      </c>
      <c r="D125" s="80">
        <v>1250000</v>
      </c>
      <c r="E125" s="80">
        <v>87288</v>
      </c>
      <c r="F125" s="80">
        <v>0</v>
      </c>
      <c r="G125" s="73">
        <f t="shared" si="3"/>
        <v>445762.66666666669</v>
      </c>
      <c r="H125" s="81" t="s">
        <v>271</v>
      </c>
      <c r="I125" s="94">
        <v>1</v>
      </c>
      <c r="K125" s="125">
        <f>'3)MOCK DATA-CURRENT METHODOLOGY'!$F$50</f>
        <v>584.77661762203434</v>
      </c>
    </row>
    <row r="126" spans="1:11" x14ac:dyDescent="0.25">
      <c r="A126" s="90" t="s">
        <v>149</v>
      </c>
      <c r="B126" s="75" t="s">
        <v>254</v>
      </c>
      <c r="C126" s="75" t="s">
        <v>263</v>
      </c>
      <c r="D126" s="80">
        <v>0</v>
      </c>
      <c r="E126" s="80">
        <v>0</v>
      </c>
      <c r="F126" s="80">
        <v>0</v>
      </c>
      <c r="G126" s="73">
        <f t="shared" si="3"/>
        <v>0</v>
      </c>
      <c r="H126" s="81" t="s">
        <v>271</v>
      </c>
      <c r="I126" s="94">
        <v>1</v>
      </c>
      <c r="K126" s="125">
        <f>'3)MOCK DATA-CURRENT METHODOLOGY'!$F$50</f>
        <v>584.77661762203434</v>
      </c>
    </row>
    <row r="127" spans="1:11" x14ac:dyDescent="0.25">
      <c r="A127" s="90" t="s">
        <v>149</v>
      </c>
      <c r="B127" s="75" t="s">
        <v>255</v>
      </c>
      <c r="C127" s="75" t="s">
        <v>263</v>
      </c>
      <c r="D127" s="80">
        <v>0</v>
      </c>
      <c r="E127" s="80">
        <v>0</v>
      </c>
      <c r="F127" s="80">
        <v>0</v>
      </c>
      <c r="G127" s="73">
        <f t="shared" si="3"/>
        <v>0</v>
      </c>
      <c r="H127" s="81" t="s">
        <v>271</v>
      </c>
      <c r="I127" s="94">
        <v>1</v>
      </c>
      <c r="K127" s="125">
        <f>'3)MOCK DATA-CURRENT METHODOLOGY'!$F$50</f>
        <v>584.77661762203434</v>
      </c>
    </row>
    <row r="128" spans="1:11" x14ac:dyDescent="0.25">
      <c r="A128" s="90" t="s">
        <v>149</v>
      </c>
      <c r="B128" s="75" t="s">
        <v>256</v>
      </c>
      <c r="C128" s="75" t="s">
        <v>263</v>
      </c>
      <c r="D128" s="80">
        <v>0</v>
      </c>
      <c r="E128" s="80">
        <v>0</v>
      </c>
      <c r="F128" s="80">
        <v>0</v>
      </c>
      <c r="G128" s="73">
        <f t="shared" si="3"/>
        <v>0</v>
      </c>
      <c r="H128" s="81" t="s">
        <v>271</v>
      </c>
      <c r="I128" s="94">
        <v>2</v>
      </c>
      <c r="K128" s="125">
        <f>'3)MOCK DATA-CURRENT METHODOLOGY'!$F$50</f>
        <v>584.77661762203434</v>
      </c>
    </row>
    <row r="129" spans="1:13" x14ac:dyDescent="0.25">
      <c r="A129" s="90" t="s">
        <v>149</v>
      </c>
      <c r="B129" s="75" t="s">
        <v>257</v>
      </c>
      <c r="C129" s="75" t="s">
        <v>263</v>
      </c>
      <c r="D129" s="80">
        <v>0</v>
      </c>
      <c r="E129" s="80">
        <v>0</v>
      </c>
      <c r="F129" s="80">
        <v>0</v>
      </c>
      <c r="G129" s="73">
        <f t="shared" si="3"/>
        <v>0</v>
      </c>
      <c r="H129" s="81" t="s">
        <v>271</v>
      </c>
      <c r="I129" s="94">
        <v>1</v>
      </c>
      <c r="K129" s="125">
        <f>'3)MOCK DATA-CURRENT METHODOLOGY'!$F$50</f>
        <v>584.77661762203434</v>
      </c>
    </row>
    <row r="130" spans="1:13" x14ac:dyDescent="0.25">
      <c r="A130" s="90" t="s">
        <v>149</v>
      </c>
      <c r="B130" s="75" t="s">
        <v>258</v>
      </c>
      <c r="C130" s="75" t="s">
        <v>263</v>
      </c>
      <c r="D130" s="80">
        <v>0</v>
      </c>
      <c r="E130" s="80">
        <v>0</v>
      </c>
      <c r="F130" s="80">
        <v>0</v>
      </c>
      <c r="G130" s="73">
        <f t="shared" si="3"/>
        <v>0</v>
      </c>
      <c r="H130" s="81" t="s">
        <v>271</v>
      </c>
      <c r="I130" s="94">
        <v>4</v>
      </c>
      <c r="K130" s="125">
        <f>'3)MOCK DATA-CURRENT METHODOLOGY'!$F$50</f>
        <v>584.77661762203434</v>
      </c>
    </row>
    <row r="131" spans="1:13" x14ac:dyDescent="0.25">
      <c r="A131" s="90" t="s">
        <v>149</v>
      </c>
      <c r="B131" s="75" t="s">
        <v>259</v>
      </c>
      <c r="C131" s="75" t="s">
        <v>263</v>
      </c>
      <c r="D131" s="80">
        <v>0</v>
      </c>
      <c r="E131" s="80">
        <v>0</v>
      </c>
      <c r="F131" s="80">
        <v>0</v>
      </c>
      <c r="G131" s="73">
        <f t="shared" si="3"/>
        <v>0</v>
      </c>
      <c r="H131" s="81" t="s">
        <v>271</v>
      </c>
      <c r="I131" s="94">
        <v>1</v>
      </c>
      <c r="K131" s="125">
        <f>'3)MOCK DATA-CURRENT METHODOLOGY'!$F$50</f>
        <v>584.77661762203434</v>
      </c>
    </row>
    <row r="132" spans="1:13" x14ac:dyDescent="0.25">
      <c r="A132" s="90" t="s">
        <v>149</v>
      </c>
      <c r="B132" s="75" t="s">
        <v>260</v>
      </c>
      <c r="C132" s="75" t="s">
        <v>263</v>
      </c>
      <c r="D132" s="80">
        <v>0</v>
      </c>
      <c r="E132" s="80">
        <v>0</v>
      </c>
      <c r="F132" s="83">
        <v>0</v>
      </c>
      <c r="G132" s="73">
        <f t="shared" si="3"/>
        <v>0</v>
      </c>
      <c r="H132" s="81" t="s">
        <v>271</v>
      </c>
      <c r="I132" s="94">
        <v>1</v>
      </c>
      <c r="K132" s="125">
        <f>'3)MOCK DATA-CURRENT METHODOLOGY'!$F$50</f>
        <v>584.77661762203434</v>
      </c>
    </row>
    <row r="133" spans="1:13" ht="15.75" thickBot="1" x14ac:dyDescent="0.3">
      <c r="A133" s="91" t="s">
        <v>149</v>
      </c>
      <c r="B133" s="84" t="s">
        <v>261</v>
      </c>
      <c r="C133" s="84" t="s">
        <v>263</v>
      </c>
      <c r="D133" s="85">
        <v>0</v>
      </c>
      <c r="E133" s="85">
        <v>0</v>
      </c>
      <c r="F133" s="86">
        <v>0</v>
      </c>
      <c r="G133" s="87">
        <f t="shared" si="3"/>
        <v>0</v>
      </c>
      <c r="H133" s="88" t="s">
        <v>271</v>
      </c>
      <c r="I133" s="95">
        <v>1</v>
      </c>
      <c r="K133" s="125">
        <f>'3)MOCK DATA-CURRENT METHODOLOGY'!$F$50</f>
        <v>584.77661762203434</v>
      </c>
    </row>
    <row r="134" spans="1:13" s="71" customFormat="1" ht="18.75" customHeight="1" x14ac:dyDescent="0.25">
      <c r="A134" s="248" t="s">
        <v>266</v>
      </c>
      <c r="B134" s="249"/>
      <c r="C134" s="249"/>
      <c r="D134" s="200">
        <f t="shared" ref="D134:I134" si="4">SUM(D24:D103)</f>
        <v>904218382</v>
      </c>
      <c r="E134" s="200">
        <f t="shared" si="4"/>
        <v>722543779</v>
      </c>
      <c r="F134" s="200">
        <f t="shared" si="4"/>
        <v>741893058</v>
      </c>
      <c r="G134" s="200">
        <f t="shared" si="4"/>
        <v>789551739.66666663</v>
      </c>
      <c r="H134" s="201">
        <f t="shared" si="4"/>
        <v>1797</v>
      </c>
      <c r="I134" s="202">
        <f t="shared" si="4"/>
        <v>14720</v>
      </c>
      <c r="K134" s="120">
        <f>SUM(K24:K103)</f>
        <v>9566609.3515960258</v>
      </c>
      <c r="L134" s="126">
        <f>K134-'3)MOCK DATA-CURRENT METHODOLOGY'!H40</f>
        <v>0</v>
      </c>
    </row>
    <row r="135" spans="1:13" s="71" customFormat="1" ht="18.75" customHeight="1" x14ac:dyDescent="0.25">
      <c r="A135" s="250" t="s">
        <v>267</v>
      </c>
      <c r="B135" s="251"/>
      <c r="C135" s="251"/>
      <c r="D135" s="203">
        <f t="shared" ref="D135:I135" si="5">SUM(D104:D133)</f>
        <v>464522000</v>
      </c>
      <c r="E135" s="203">
        <f t="shared" si="5"/>
        <v>420208908</v>
      </c>
      <c r="F135" s="203">
        <f t="shared" si="5"/>
        <v>513515800</v>
      </c>
      <c r="G135" s="203">
        <f t="shared" si="5"/>
        <v>466082236.00000012</v>
      </c>
      <c r="H135" s="204">
        <f t="shared" si="5"/>
        <v>0</v>
      </c>
      <c r="I135" s="205">
        <f t="shared" si="5"/>
        <v>8855</v>
      </c>
      <c r="K135" s="121">
        <f>SUM(K104:K133)</f>
        <v>8433390.6279131025</v>
      </c>
      <c r="L135" s="126">
        <f>K135-'3)MOCK DATA-CURRENT METHODOLOGY'!H44</f>
        <v>0</v>
      </c>
    </row>
    <row r="136" spans="1:13" s="17" customFormat="1" ht="18.75" customHeight="1" thickBot="1" x14ac:dyDescent="0.3">
      <c r="A136" s="252" t="s">
        <v>268</v>
      </c>
      <c r="B136" s="253"/>
      <c r="C136" s="253"/>
      <c r="D136" s="206">
        <f>SUM(D134:D135)</f>
        <v>1368740382</v>
      </c>
      <c r="E136" s="206">
        <f t="shared" ref="E136:I136" si="6">SUM(E134:E135)</f>
        <v>1142752687</v>
      </c>
      <c r="F136" s="206">
        <f t="shared" si="6"/>
        <v>1255408858</v>
      </c>
      <c r="G136" s="206">
        <f t="shared" si="6"/>
        <v>1255633975.6666667</v>
      </c>
      <c r="H136" s="207">
        <f t="shared" si="6"/>
        <v>1797</v>
      </c>
      <c r="I136" s="208">
        <f t="shared" si="6"/>
        <v>23575</v>
      </c>
      <c r="K136" s="122">
        <f>K134+K135</f>
        <v>17999999.97950913</v>
      </c>
      <c r="L136" s="127">
        <f>K136-'3)MOCK DATA-CURRENT METHODOLOGY'!H45</f>
        <v>0</v>
      </c>
    </row>
    <row r="138" spans="1:13" ht="15.75" thickBot="1" x14ac:dyDescent="0.3"/>
    <row r="139" spans="1:13" ht="21.75" customHeight="1" x14ac:dyDescent="0.25">
      <c r="A139" s="245" t="s">
        <v>292</v>
      </c>
      <c r="B139" s="246"/>
      <c r="C139" s="246"/>
      <c r="D139" s="246"/>
      <c r="E139" s="246"/>
      <c r="F139" s="246"/>
      <c r="G139" s="246"/>
      <c r="H139" s="247"/>
    </row>
    <row r="140" spans="1:13" ht="90" x14ac:dyDescent="0.25">
      <c r="A140" s="190"/>
      <c r="B140" s="191" t="s">
        <v>273</v>
      </c>
      <c r="C140" s="191" t="s">
        <v>274</v>
      </c>
      <c r="D140" s="192" t="s">
        <v>275</v>
      </c>
      <c r="E140" s="193" t="s">
        <v>276</v>
      </c>
      <c r="F140" s="193" t="s">
        <v>277</v>
      </c>
      <c r="G140" s="193" t="s">
        <v>278</v>
      </c>
      <c r="H140" s="194" t="s">
        <v>296</v>
      </c>
      <c r="I140" s="117" t="s">
        <v>309</v>
      </c>
      <c r="J140" s="117" t="s">
        <v>308</v>
      </c>
      <c r="K140" s="117" t="s">
        <v>310</v>
      </c>
      <c r="L140" s="117" t="s">
        <v>311</v>
      </c>
    </row>
    <row r="141" spans="1:13" ht="22.5" customHeight="1" x14ac:dyDescent="0.25">
      <c r="A141" s="195" t="s">
        <v>272</v>
      </c>
      <c r="B141" s="196">
        <v>1000</v>
      </c>
      <c r="C141" s="196">
        <v>1100</v>
      </c>
      <c r="D141" s="196">
        <f>COUNTA(B24:B103)</f>
        <v>80</v>
      </c>
      <c r="E141" s="196">
        <f>COUNTA(C87:C103)</f>
        <v>17</v>
      </c>
      <c r="F141" s="196">
        <f>COUNTA(C61:C86)</f>
        <v>26</v>
      </c>
      <c r="G141" s="196">
        <f>COUNTA(C24:C60)</f>
        <v>37</v>
      </c>
      <c r="H141" s="197">
        <f>SUM(G24:G60)</f>
        <v>763014254.33333313</v>
      </c>
      <c r="I141" s="232">
        <f>SUMIFS($H$24:$H$133,$A$24:$A$133,"Cardroom",$C$24:$C$133,"Active")</f>
        <v>1764</v>
      </c>
      <c r="J141" s="232">
        <f>SUMIFS($H$24:$H$133,$A$24:$A$133,"Cardroom",$C$24:$C$133,"Non-Op")</f>
        <v>33</v>
      </c>
      <c r="K141" s="233">
        <f>I141/H134</f>
        <v>0.98163606010016691</v>
      </c>
      <c r="L141" s="233">
        <f>J141/H134</f>
        <v>1.8363939899833055E-2</v>
      </c>
      <c r="M141" s="118">
        <f>K141+L141-1</f>
        <v>0</v>
      </c>
    </row>
    <row r="142" spans="1:13" ht="22.5" customHeight="1" x14ac:dyDescent="0.25">
      <c r="A142" s="195" t="s">
        <v>149</v>
      </c>
      <c r="B142" s="196">
        <v>2000</v>
      </c>
      <c r="C142" s="196">
        <v>4200</v>
      </c>
      <c r="D142" s="196">
        <f>COUNTA(B104:B133)</f>
        <v>30</v>
      </c>
      <c r="E142" s="196">
        <f>COUNTA(C125:C133)</f>
        <v>9</v>
      </c>
      <c r="F142" s="196">
        <f>COUNTA(C116:C124)</f>
        <v>9</v>
      </c>
      <c r="G142" s="196">
        <f>COUNTA(C104:C115)</f>
        <v>12</v>
      </c>
      <c r="H142" s="197">
        <f>SUM(G104:G115)</f>
        <v>456258473.33333343</v>
      </c>
      <c r="I142" s="232">
        <f>SUMIFS($I$24:$I$133,$A$24:$A$133,"TPPPS",$C$24:$C$133,"Active")</f>
        <v>8842</v>
      </c>
      <c r="J142" s="232">
        <f>SUMIFS($I$24:$I$133,$A$24:$A$133,"TPPPS",$C$24:$C$133,"Non-Op")</f>
        <v>13</v>
      </c>
      <c r="K142" s="233">
        <f>I142/I135</f>
        <v>0.99853190287972893</v>
      </c>
      <c r="L142" s="233">
        <f>J142/I135</f>
        <v>1.4680971202710334E-3</v>
      </c>
      <c r="M142" s="118">
        <f>K142+L142-1</f>
        <v>0</v>
      </c>
    </row>
    <row r="143" spans="1:13" ht="29.25" customHeight="1" thickBot="1" x14ac:dyDescent="0.3">
      <c r="A143" s="198" t="s">
        <v>265</v>
      </c>
      <c r="B143" s="199">
        <f>SUM(B141:B142)</f>
        <v>3000</v>
      </c>
      <c r="C143" s="199">
        <f t="shared" ref="C143:D143" si="7">SUM(C141:C142)</f>
        <v>5300</v>
      </c>
      <c r="D143" s="199">
        <f t="shared" si="7"/>
        <v>110</v>
      </c>
      <c r="E143" s="199">
        <f t="shared" ref="E143" si="8">SUM(E141:E142)</f>
        <v>26</v>
      </c>
      <c r="F143" s="199">
        <f t="shared" ref="F143" si="9">SUM(F141:F142)</f>
        <v>35</v>
      </c>
      <c r="G143" s="199">
        <f t="shared" ref="G143" si="10">SUM(G141:G142)</f>
        <v>49</v>
      </c>
      <c r="H143" s="189">
        <f>SUM(H141:H142)</f>
        <v>1219272727.6666665</v>
      </c>
    </row>
    <row r="145" spans="1:5" ht="15.75" thickBot="1" x14ac:dyDescent="0.3"/>
    <row r="146" spans="1:5" ht="34.5" customHeight="1" thickBot="1" x14ac:dyDescent="0.3">
      <c r="A146" s="254" t="s">
        <v>289</v>
      </c>
      <c r="B146" s="255"/>
      <c r="C146" s="256"/>
    </row>
    <row r="147" spans="1:5" ht="21" customHeight="1" x14ac:dyDescent="0.25">
      <c r="A147" s="236" t="s">
        <v>283</v>
      </c>
      <c r="B147" s="237"/>
      <c r="C147" s="98">
        <v>4000000</v>
      </c>
    </row>
    <row r="148" spans="1:5" ht="21" customHeight="1" x14ac:dyDescent="0.25">
      <c r="A148" s="238" t="s">
        <v>284</v>
      </c>
      <c r="B148" s="239"/>
      <c r="C148" s="97">
        <v>2000000</v>
      </c>
      <c r="D148" s="240" t="s">
        <v>293</v>
      </c>
      <c r="E148" s="241"/>
    </row>
    <row r="149" spans="1:5" ht="21" customHeight="1" x14ac:dyDescent="0.25">
      <c r="A149" s="238" t="s">
        <v>285</v>
      </c>
      <c r="B149" s="239"/>
      <c r="C149" s="97">
        <v>8000000</v>
      </c>
      <c r="D149" s="240"/>
      <c r="E149" s="241"/>
    </row>
    <row r="150" spans="1:5" ht="21" customHeight="1" x14ac:dyDescent="0.25">
      <c r="A150" s="238" t="s">
        <v>286</v>
      </c>
      <c r="B150" s="239"/>
      <c r="C150" s="97">
        <v>1000000</v>
      </c>
      <c r="D150" s="240"/>
      <c r="E150" s="241"/>
    </row>
    <row r="151" spans="1:5" ht="21" customHeight="1" x14ac:dyDescent="0.25">
      <c r="A151" s="238" t="s">
        <v>287</v>
      </c>
      <c r="B151" s="239"/>
      <c r="C151" s="97">
        <v>1000000</v>
      </c>
    </row>
    <row r="152" spans="1:5" ht="21" customHeight="1" x14ac:dyDescent="0.25">
      <c r="A152" s="238" t="s">
        <v>288</v>
      </c>
      <c r="B152" s="239"/>
      <c r="C152" s="97">
        <v>2000000</v>
      </c>
    </row>
    <row r="153" spans="1:5" ht="21" customHeight="1" thickBot="1" x14ac:dyDescent="0.3">
      <c r="A153" s="234" t="s">
        <v>290</v>
      </c>
      <c r="B153" s="235"/>
      <c r="C153" s="189">
        <f>SUM(C147:C152)</f>
        <v>18000000</v>
      </c>
    </row>
  </sheetData>
  <autoFilter ref="A23:I136"/>
  <sortState ref="A25:J134">
    <sortCondition ref="A25:A134"/>
    <sortCondition ref="C25:C134"/>
    <sortCondition descending="1" ref="G25:G134"/>
  </sortState>
  <mergeCells count="14">
    <mergeCell ref="D148:E150"/>
    <mergeCell ref="A22:I22"/>
    <mergeCell ref="A139:H139"/>
    <mergeCell ref="A134:C134"/>
    <mergeCell ref="A135:C135"/>
    <mergeCell ref="A136:C136"/>
    <mergeCell ref="A146:C146"/>
    <mergeCell ref="A153:B153"/>
    <mergeCell ref="A147:B147"/>
    <mergeCell ref="A148:B148"/>
    <mergeCell ref="A149:B149"/>
    <mergeCell ref="A150:B150"/>
    <mergeCell ref="A151:B151"/>
    <mergeCell ref="A152:B152"/>
  </mergeCells>
  <conditionalFormatting sqref="G104:G133 A104:C133 A24:XFD103">
    <cfRule type="expression" dxfId="8" priority="28">
      <formula>$I24="YES"</formula>
    </cfRule>
    <cfRule type="expression" dxfId="7" priority="29">
      <formula>$I24="NON-OP"</formula>
    </cfRule>
    <cfRule type="expression" dxfId="6" priority="30">
      <formula>$I24="INACTIVE"</formula>
    </cfRule>
  </conditionalFormatting>
  <conditionalFormatting sqref="D109:F112">
    <cfRule type="expression" dxfId="5" priority="4">
      <formula>$I109="YES"</formula>
    </cfRule>
    <cfRule type="expression" dxfId="4" priority="5">
      <formula>$I109="NON-OP"</formula>
    </cfRule>
    <cfRule type="expression" dxfId="3" priority="6">
      <formula>$I109="INACTIVE"</formula>
    </cfRule>
  </conditionalFormatting>
  <conditionalFormatting sqref="K104:K124">
    <cfRule type="expression" dxfId="2" priority="1">
      <formula>$I104="YES"</formula>
    </cfRule>
    <cfRule type="expression" dxfId="1" priority="2">
      <formula>$I104="NON-OP"</formula>
    </cfRule>
    <cfRule type="expression" dxfId="0" priority="3">
      <formula>$I104="INACTIVE"</formula>
    </cfRule>
  </conditionalFormatting>
  <pageMargins left="0.7" right="0.7" top="0.75" bottom="0.75" header="0.3" footer="0.3"/>
  <pageSetup scale="38" fitToHeight="2" orientation="portrait" r:id="rId1"/>
  <headerFooter>
    <oddHeader>&amp;C&amp;"-,Bold"&amp;16&amp;KFF0000MOCK DATA FOR ANNUAL FEE PROJECT</oddHeader>
  </headerFooter>
  <rowBreaks count="1" manualBreakCount="1">
    <brk id="137"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Q97"/>
  <sheetViews>
    <sheetView zoomScale="110" zoomScaleNormal="110" workbookViewId="0">
      <pane ySplit="9" topLeftCell="A10" activePane="bottomLeft" state="frozen"/>
      <selection pane="bottomLeft" activeCell="N3" sqref="N3"/>
    </sheetView>
  </sheetViews>
  <sheetFormatPr defaultRowHeight="15" x14ac:dyDescent="0.25"/>
  <cols>
    <col min="1" max="1" width="77" style="4" bestFit="1" customWidth="1"/>
    <col min="2" max="3" width="10.42578125" style="4" customWidth="1"/>
    <col min="4" max="4" width="11.7109375" style="4" bestFit="1" customWidth="1"/>
    <col min="5" max="5" width="10.42578125" style="4" customWidth="1"/>
    <col min="6" max="6" width="10.85546875" style="4" bestFit="1" customWidth="1"/>
    <col min="7" max="10" width="10.42578125" style="4" customWidth="1"/>
    <col min="11" max="11" width="10.85546875" style="4" bestFit="1" customWidth="1"/>
    <col min="12" max="14" width="10.42578125" style="4" customWidth="1"/>
    <col min="15" max="16" width="11.5703125" style="4" bestFit="1" customWidth="1"/>
    <col min="17" max="20" width="10.42578125" style="4" customWidth="1"/>
    <col min="21" max="21" width="10.85546875" style="4" bestFit="1" customWidth="1"/>
    <col min="22" max="25" width="10.42578125" style="4" customWidth="1"/>
    <col min="26" max="26" width="10.85546875" style="4" bestFit="1" customWidth="1"/>
    <col min="27" max="30" width="10.42578125" style="4" customWidth="1"/>
    <col min="31" max="31" width="10.85546875" style="4" bestFit="1" customWidth="1"/>
    <col min="32" max="32" width="14.140625" style="4" customWidth="1"/>
    <col min="33" max="33" width="14.140625" style="188" customWidth="1"/>
    <col min="34" max="36" width="14.140625" style="4" customWidth="1"/>
    <col min="37" max="16384" width="9.140625" style="4"/>
  </cols>
  <sheetData>
    <row r="7" spans="1:36" ht="15.75" thickBot="1" x14ac:dyDescent="0.3"/>
    <row r="8" spans="1:36" s="138" customFormat="1" ht="35.25" customHeight="1" thickBot="1" x14ac:dyDescent="0.3">
      <c r="A8" s="267" t="s">
        <v>150</v>
      </c>
      <c r="B8" s="269" t="s">
        <v>1</v>
      </c>
      <c r="C8" s="270"/>
      <c r="D8" s="270"/>
      <c r="E8" s="270"/>
      <c r="F8" s="271"/>
      <c r="G8" s="269" t="s">
        <v>2</v>
      </c>
      <c r="H8" s="270"/>
      <c r="I8" s="270"/>
      <c r="J8" s="270"/>
      <c r="K8" s="271"/>
      <c r="L8" s="269" t="s">
        <v>3</v>
      </c>
      <c r="M8" s="270"/>
      <c r="N8" s="270"/>
      <c r="O8" s="270"/>
      <c r="P8" s="271"/>
      <c r="Q8" s="269" t="s">
        <v>4</v>
      </c>
      <c r="R8" s="270"/>
      <c r="S8" s="270"/>
      <c r="T8" s="270"/>
      <c r="U8" s="271"/>
      <c r="V8" s="269" t="s">
        <v>5</v>
      </c>
      <c r="W8" s="270"/>
      <c r="X8" s="270"/>
      <c r="Y8" s="270"/>
      <c r="Z8" s="271"/>
      <c r="AA8" s="269" t="s">
        <v>6</v>
      </c>
      <c r="AB8" s="270"/>
      <c r="AC8" s="270"/>
      <c r="AD8" s="270"/>
      <c r="AE8" s="270"/>
      <c r="AF8" s="257" t="s">
        <v>7</v>
      </c>
      <c r="AG8" s="275" t="s">
        <v>294</v>
      </c>
      <c r="AH8" s="257" t="s">
        <v>8</v>
      </c>
      <c r="AI8" s="257" t="s">
        <v>9</v>
      </c>
      <c r="AJ8" s="259" t="s">
        <v>0</v>
      </c>
    </row>
    <row r="9" spans="1:36" s="138" customFormat="1" ht="75.75" thickBot="1" x14ac:dyDescent="0.3">
      <c r="A9" s="268"/>
      <c r="B9" s="139" t="s">
        <v>10</v>
      </c>
      <c r="C9" s="140" t="s">
        <v>11</v>
      </c>
      <c r="D9" s="140" t="s">
        <v>12</v>
      </c>
      <c r="E9" s="140" t="s">
        <v>13</v>
      </c>
      <c r="F9" s="141" t="s">
        <v>0</v>
      </c>
      <c r="G9" s="139" t="s">
        <v>10</v>
      </c>
      <c r="H9" s="140" t="s">
        <v>11</v>
      </c>
      <c r="I9" s="140" t="s">
        <v>12</v>
      </c>
      <c r="J9" s="140" t="s">
        <v>13</v>
      </c>
      <c r="K9" s="141" t="s">
        <v>0</v>
      </c>
      <c r="L9" s="142" t="s">
        <v>10</v>
      </c>
      <c r="M9" s="143" t="s">
        <v>11</v>
      </c>
      <c r="N9" s="143" t="s">
        <v>12</v>
      </c>
      <c r="O9" s="143" t="s">
        <v>13</v>
      </c>
      <c r="P9" s="144" t="s">
        <v>0</v>
      </c>
      <c r="Q9" s="142" t="s">
        <v>10</v>
      </c>
      <c r="R9" s="143" t="s">
        <v>11</v>
      </c>
      <c r="S9" s="143" t="s">
        <v>12</v>
      </c>
      <c r="T9" s="143" t="s">
        <v>13</v>
      </c>
      <c r="U9" s="144" t="s">
        <v>0</v>
      </c>
      <c r="V9" s="142" t="s">
        <v>10</v>
      </c>
      <c r="W9" s="143" t="s">
        <v>11</v>
      </c>
      <c r="X9" s="143" t="s">
        <v>12</v>
      </c>
      <c r="Y9" s="143" t="s">
        <v>13</v>
      </c>
      <c r="Z9" s="144" t="s">
        <v>0</v>
      </c>
      <c r="AA9" s="142" t="s">
        <v>10</v>
      </c>
      <c r="AB9" s="143" t="s">
        <v>11</v>
      </c>
      <c r="AC9" s="143" t="s">
        <v>12</v>
      </c>
      <c r="AD9" s="143" t="s">
        <v>13</v>
      </c>
      <c r="AE9" s="145" t="s">
        <v>0</v>
      </c>
      <c r="AF9" s="258"/>
      <c r="AG9" s="276"/>
      <c r="AH9" s="258"/>
      <c r="AI9" s="258"/>
      <c r="AJ9" s="260"/>
    </row>
    <row r="10" spans="1:36" ht="15.75" thickBot="1" x14ac:dyDescent="0.3">
      <c r="A10" s="146" t="s">
        <v>14</v>
      </c>
      <c r="B10" s="147"/>
      <c r="C10" s="148"/>
      <c r="D10" s="149"/>
      <c r="E10" s="149"/>
      <c r="F10" s="150"/>
      <c r="G10" s="151"/>
      <c r="H10" s="148"/>
      <c r="I10" s="149"/>
      <c r="J10" s="149"/>
      <c r="K10" s="150"/>
      <c r="L10" s="151"/>
      <c r="M10" s="148"/>
      <c r="N10" s="149"/>
      <c r="O10" s="149"/>
      <c r="P10" s="150"/>
      <c r="Q10" s="151"/>
      <c r="R10" s="148"/>
      <c r="S10" s="149"/>
      <c r="T10" s="149"/>
      <c r="U10" s="150"/>
      <c r="V10" s="151"/>
      <c r="W10" s="148"/>
      <c r="X10" s="149"/>
      <c r="Y10" s="149"/>
      <c r="Z10" s="150"/>
      <c r="AA10" s="151"/>
      <c r="AB10" s="148"/>
      <c r="AC10" s="149"/>
      <c r="AD10" s="149"/>
      <c r="AE10" s="150"/>
      <c r="AF10" s="152"/>
      <c r="AG10" s="153"/>
      <c r="AH10" s="150"/>
      <c r="AI10" s="150"/>
      <c r="AJ10" s="154"/>
    </row>
    <row r="11" spans="1:36" x14ac:dyDescent="0.25">
      <c r="A11" s="155" t="s">
        <v>15</v>
      </c>
      <c r="B11" s="156">
        <v>812.8</v>
      </c>
      <c r="C11" s="157">
        <v>79.933268415409984</v>
      </c>
      <c r="D11" s="158"/>
      <c r="E11" s="158"/>
      <c r="F11" s="159">
        <f>SUM(B11*C11)+D11+E11</f>
        <v>64969.760568045233</v>
      </c>
      <c r="G11" s="160"/>
      <c r="H11" s="157"/>
      <c r="I11" s="158"/>
      <c r="J11" s="158"/>
      <c r="K11" s="159">
        <f>SUM(G11*H11)+I11+J11</f>
        <v>0</v>
      </c>
      <c r="L11" s="160"/>
      <c r="M11" s="157"/>
      <c r="N11" s="158"/>
      <c r="O11" s="158"/>
      <c r="P11" s="159">
        <f>SUM(L11*M11)+N11+O11</f>
        <v>0</v>
      </c>
      <c r="Q11" s="160"/>
      <c r="R11" s="157"/>
      <c r="S11" s="158"/>
      <c r="T11" s="158"/>
      <c r="U11" s="159">
        <f>SUM(Q11*R11)+S11+T11</f>
        <v>0</v>
      </c>
      <c r="V11" s="160">
        <v>56</v>
      </c>
      <c r="W11" s="157">
        <v>79.933268415409984</v>
      </c>
      <c r="X11" s="158"/>
      <c r="Y11" s="158"/>
      <c r="Z11" s="159">
        <f>SUM(V11*W11)+X11+Y11</f>
        <v>4476.263031262959</v>
      </c>
      <c r="AA11" s="160"/>
      <c r="AB11" s="157"/>
      <c r="AC11" s="158"/>
      <c r="AD11" s="158"/>
      <c r="AE11" s="159">
        <f>SUM(AA11*AB11)+AC11+AD11</f>
        <v>0</v>
      </c>
      <c r="AF11" s="161">
        <f>SUM(AA11+V11+Q11+L11+G11+B11)</f>
        <v>868.8</v>
      </c>
      <c r="AG11" s="162">
        <f>SUM((B11*C11)+(G11*H11)+(L11*M11)+(Q11*R11)+(V11*W11)+(AA11*AB11))</f>
        <v>69446.023599308188</v>
      </c>
      <c r="AH11" s="159">
        <f>+D11+I11+N11+S11+X11+AC11</f>
        <v>0</v>
      </c>
      <c r="AI11" s="159">
        <f>SUM(E11+J11+O11+T11+Y11+AD11)</f>
        <v>0</v>
      </c>
      <c r="AJ11" s="163">
        <f>SUM(AG11:AI11)</f>
        <v>69446.023599308188</v>
      </c>
    </row>
    <row r="12" spans="1:36" x14ac:dyDescent="0.25">
      <c r="A12" s="164" t="s">
        <v>16</v>
      </c>
      <c r="B12" s="156">
        <v>826.6</v>
      </c>
      <c r="C12" s="157">
        <v>74.60162789474353</v>
      </c>
      <c r="D12" s="158"/>
      <c r="E12" s="158"/>
      <c r="F12" s="159">
        <f t="shared" ref="F12:F40" si="0">SUM(B12*C12)+D12+E12</f>
        <v>61665.705617795</v>
      </c>
      <c r="G12" s="160"/>
      <c r="H12" s="157"/>
      <c r="I12" s="158"/>
      <c r="J12" s="158"/>
      <c r="K12" s="159">
        <f t="shared" ref="K12:K42" si="1">SUM(G12*H12)+I12+J12</f>
        <v>0</v>
      </c>
      <c r="L12" s="160"/>
      <c r="M12" s="157"/>
      <c r="N12" s="158"/>
      <c r="O12" s="158"/>
      <c r="P12" s="159">
        <f t="shared" ref="P12:P42" si="2">SUM(L12*M12)+N12+O12</f>
        <v>0</v>
      </c>
      <c r="Q12" s="160"/>
      <c r="R12" s="157"/>
      <c r="S12" s="158"/>
      <c r="T12" s="158"/>
      <c r="U12" s="159">
        <f t="shared" ref="U12:U42" si="3">SUM(Q12*R12)+S12+T12</f>
        <v>0</v>
      </c>
      <c r="V12" s="160"/>
      <c r="W12" s="157"/>
      <c r="X12" s="158"/>
      <c r="Y12" s="158"/>
      <c r="Z12" s="159">
        <f t="shared" ref="Z12:Z42" si="4">SUM(V12*W12)+X12+Y12</f>
        <v>0</v>
      </c>
      <c r="AA12" s="160"/>
      <c r="AB12" s="157"/>
      <c r="AC12" s="158"/>
      <c r="AD12" s="158"/>
      <c r="AE12" s="159">
        <f t="shared" ref="AE12:AE42" si="5">SUM(AA12*AB12)+AC12+AD12</f>
        <v>0</v>
      </c>
      <c r="AF12" s="161">
        <f t="shared" ref="AF12:AF42" si="6">SUM(AA12+V12+Q12+L12+G12+B12)</f>
        <v>826.6</v>
      </c>
      <c r="AG12" s="162">
        <f t="shared" ref="AG12:AG42" si="7">SUM((B12*C12)+(G12*H12)+(L12*M12)+(Q12*R12)+(V12*W12)+(AA12*AB12))</f>
        <v>61665.705617795</v>
      </c>
      <c r="AH12" s="159">
        <f t="shared" ref="AH12:AH42" si="8">+D12+I12+N12+S12+X12+AC12</f>
        <v>0</v>
      </c>
      <c r="AI12" s="159">
        <f t="shared" ref="AI12:AI42" si="9">SUM(E12+J12+O12+T12+Y12+AD12)</f>
        <v>0</v>
      </c>
      <c r="AJ12" s="163">
        <f t="shared" ref="AJ12:AJ42" si="10">SUM(AG12:AI12)</f>
        <v>61665.705617795</v>
      </c>
    </row>
    <row r="13" spans="1:36" x14ac:dyDescent="0.25">
      <c r="A13" s="164" t="s">
        <v>17</v>
      </c>
      <c r="B13" s="156">
        <v>4.7999999999999989</v>
      </c>
      <c r="C13" s="157">
        <v>90.576432615891321</v>
      </c>
      <c r="D13" s="158"/>
      <c r="E13" s="158"/>
      <c r="F13" s="159">
        <f t="shared" si="0"/>
        <v>434.76687655627825</v>
      </c>
      <c r="G13" s="160"/>
      <c r="H13" s="157"/>
      <c r="I13" s="158"/>
      <c r="J13" s="158"/>
      <c r="K13" s="159">
        <f t="shared" si="1"/>
        <v>0</v>
      </c>
      <c r="L13" s="160"/>
      <c r="M13" s="157"/>
      <c r="N13" s="158"/>
      <c r="O13" s="158"/>
      <c r="P13" s="159">
        <f t="shared" si="2"/>
        <v>0</v>
      </c>
      <c r="Q13" s="160"/>
      <c r="R13" s="157"/>
      <c r="S13" s="158"/>
      <c r="T13" s="158"/>
      <c r="U13" s="159">
        <f t="shared" si="3"/>
        <v>0</v>
      </c>
      <c r="V13" s="160"/>
      <c r="W13" s="157"/>
      <c r="X13" s="158"/>
      <c r="Y13" s="158"/>
      <c r="Z13" s="159">
        <f t="shared" si="4"/>
        <v>0</v>
      </c>
      <c r="AA13" s="160"/>
      <c r="AB13" s="157"/>
      <c r="AC13" s="158"/>
      <c r="AD13" s="158"/>
      <c r="AE13" s="159">
        <f t="shared" si="5"/>
        <v>0</v>
      </c>
      <c r="AF13" s="161">
        <f t="shared" si="6"/>
        <v>4.7999999999999989</v>
      </c>
      <c r="AG13" s="162">
        <f t="shared" si="7"/>
        <v>434.76687655627825</v>
      </c>
      <c r="AH13" s="159">
        <f t="shared" si="8"/>
        <v>0</v>
      </c>
      <c r="AI13" s="159">
        <f t="shared" si="9"/>
        <v>0</v>
      </c>
      <c r="AJ13" s="163">
        <f t="shared" si="10"/>
        <v>434.76687655627825</v>
      </c>
    </row>
    <row r="14" spans="1:36" x14ac:dyDescent="0.25">
      <c r="A14" s="164" t="s">
        <v>18</v>
      </c>
      <c r="B14" s="156">
        <v>866.8</v>
      </c>
      <c r="C14" s="157">
        <v>125.28811284163717</v>
      </c>
      <c r="D14" s="158"/>
      <c r="E14" s="158"/>
      <c r="F14" s="159">
        <f t="shared" si="0"/>
        <v>108599.73621113109</v>
      </c>
      <c r="G14" s="160"/>
      <c r="H14" s="157"/>
      <c r="I14" s="158"/>
      <c r="J14" s="158"/>
      <c r="K14" s="159">
        <f t="shared" si="1"/>
        <v>0</v>
      </c>
      <c r="L14" s="160"/>
      <c r="M14" s="157"/>
      <c r="N14" s="158"/>
      <c r="O14" s="158"/>
      <c r="P14" s="159">
        <f t="shared" si="2"/>
        <v>0</v>
      </c>
      <c r="Q14" s="160">
        <v>12.24</v>
      </c>
      <c r="R14" s="157">
        <v>125.28811284163717</v>
      </c>
      <c r="S14" s="158"/>
      <c r="T14" s="158"/>
      <c r="U14" s="159">
        <f t="shared" si="3"/>
        <v>1533.5265011816391</v>
      </c>
      <c r="V14" s="160"/>
      <c r="W14" s="157"/>
      <c r="X14" s="158"/>
      <c r="Y14" s="158"/>
      <c r="Z14" s="159">
        <f t="shared" si="4"/>
        <v>0</v>
      </c>
      <c r="AA14" s="160"/>
      <c r="AB14" s="157"/>
      <c r="AC14" s="158"/>
      <c r="AD14" s="158"/>
      <c r="AE14" s="159">
        <f t="shared" si="5"/>
        <v>0</v>
      </c>
      <c r="AF14" s="161">
        <f t="shared" si="6"/>
        <v>879.04</v>
      </c>
      <c r="AG14" s="162">
        <f t="shared" si="7"/>
        <v>110133.26271231273</v>
      </c>
      <c r="AH14" s="159">
        <f t="shared" si="8"/>
        <v>0</v>
      </c>
      <c r="AI14" s="159">
        <f t="shared" si="9"/>
        <v>0</v>
      </c>
      <c r="AJ14" s="163">
        <f t="shared" si="10"/>
        <v>110133.26271231273</v>
      </c>
    </row>
    <row r="15" spans="1:36" x14ac:dyDescent="0.25">
      <c r="A15" s="164" t="s">
        <v>19</v>
      </c>
      <c r="B15" s="156">
        <v>703.6</v>
      </c>
      <c r="C15" s="157">
        <v>102.78960210673564</v>
      </c>
      <c r="D15" s="158"/>
      <c r="E15" s="158"/>
      <c r="F15" s="159">
        <f t="shared" si="0"/>
        <v>72322.764042299197</v>
      </c>
      <c r="G15" s="160"/>
      <c r="H15" s="157"/>
      <c r="I15" s="158"/>
      <c r="J15" s="158"/>
      <c r="K15" s="159">
        <f t="shared" si="1"/>
        <v>0</v>
      </c>
      <c r="L15" s="160"/>
      <c r="M15" s="157"/>
      <c r="N15" s="158"/>
      <c r="O15" s="158"/>
      <c r="P15" s="159">
        <f t="shared" si="2"/>
        <v>0</v>
      </c>
      <c r="Q15" s="160">
        <v>72.930000000000007</v>
      </c>
      <c r="R15" s="157">
        <v>102.78960210673564</v>
      </c>
      <c r="S15" s="158"/>
      <c r="T15" s="158"/>
      <c r="U15" s="159">
        <f t="shared" si="3"/>
        <v>7496.4456816442307</v>
      </c>
      <c r="V15" s="160"/>
      <c r="W15" s="157"/>
      <c r="X15" s="158"/>
      <c r="Y15" s="158"/>
      <c r="Z15" s="159">
        <f t="shared" si="4"/>
        <v>0</v>
      </c>
      <c r="AA15" s="160"/>
      <c r="AB15" s="157"/>
      <c r="AC15" s="158"/>
      <c r="AD15" s="158"/>
      <c r="AE15" s="159">
        <f t="shared" si="5"/>
        <v>0</v>
      </c>
      <c r="AF15" s="161">
        <f t="shared" si="6"/>
        <v>776.53</v>
      </c>
      <c r="AG15" s="162">
        <f t="shared" si="7"/>
        <v>79819.209723943422</v>
      </c>
      <c r="AH15" s="159">
        <f t="shared" si="8"/>
        <v>0</v>
      </c>
      <c r="AI15" s="159">
        <f t="shared" si="9"/>
        <v>0</v>
      </c>
      <c r="AJ15" s="163">
        <f t="shared" si="10"/>
        <v>79819.209723943422</v>
      </c>
    </row>
    <row r="16" spans="1:36" x14ac:dyDescent="0.25">
      <c r="A16" s="164" t="s">
        <v>20</v>
      </c>
      <c r="B16" s="156">
        <v>888</v>
      </c>
      <c r="C16" s="157">
        <v>79.064415876548864</v>
      </c>
      <c r="D16" s="158"/>
      <c r="E16" s="158"/>
      <c r="F16" s="159">
        <f t="shared" si="0"/>
        <v>70209.201298375396</v>
      </c>
      <c r="G16" s="160"/>
      <c r="H16" s="157"/>
      <c r="I16" s="158"/>
      <c r="J16" s="158"/>
      <c r="K16" s="159">
        <f t="shared" si="1"/>
        <v>0</v>
      </c>
      <c r="L16" s="160"/>
      <c r="M16" s="157"/>
      <c r="N16" s="158"/>
      <c r="O16" s="158"/>
      <c r="P16" s="159">
        <f t="shared" si="2"/>
        <v>0</v>
      </c>
      <c r="Q16" s="160"/>
      <c r="R16" s="157"/>
      <c r="S16" s="158"/>
      <c r="T16" s="158"/>
      <c r="U16" s="159">
        <f t="shared" si="3"/>
        <v>0</v>
      </c>
      <c r="V16" s="160"/>
      <c r="W16" s="157"/>
      <c r="X16" s="158"/>
      <c r="Y16" s="158"/>
      <c r="Z16" s="159">
        <f t="shared" si="4"/>
        <v>0</v>
      </c>
      <c r="AA16" s="160"/>
      <c r="AB16" s="157"/>
      <c r="AC16" s="158"/>
      <c r="AD16" s="158"/>
      <c r="AE16" s="159">
        <f t="shared" si="5"/>
        <v>0</v>
      </c>
      <c r="AF16" s="161">
        <f t="shared" si="6"/>
        <v>888</v>
      </c>
      <c r="AG16" s="162">
        <f t="shared" si="7"/>
        <v>70209.201298375396</v>
      </c>
      <c r="AH16" s="159">
        <f t="shared" si="8"/>
        <v>0</v>
      </c>
      <c r="AI16" s="159">
        <f t="shared" si="9"/>
        <v>0</v>
      </c>
      <c r="AJ16" s="163">
        <f t="shared" si="10"/>
        <v>70209.201298375396</v>
      </c>
    </row>
    <row r="17" spans="1:36" x14ac:dyDescent="0.25">
      <c r="A17" s="164" t="s">
        <v>21</v>
      </c>
      <c r="B17" s="156">
        <v>710.40000000000009</v>
      </c>
      <c r="C17" s="157">
        <v>78.469946584243985</v>
      </c>
      <c r="D17" s="158"/>
      <c r="E17" s="158"/>
      <c r="F17" s="159">
        <f t="shared" si="0"/>
        <v>55745.050053446932</v>
      </c>
      <c r="G17" s="160"/>
      <c r="H17" s="157"/>
      <c r="I17" s="158"/>
      <c r="J17" s="158"/>
      <c r="K17" s="159">
        <f t="shared" si="1"/>
        <v>0</v>
      </c>
      <c r="L17" s="160"/>
      <c r="M17" s="157"/>
      <c r="N17" s="158"/>
      <c r="O17" s="158"/>
      <c r="P17" s="159">
        <f t="shared" si="2"/>
        <v>0</v>
      </c>
      <c r="Q17" s="160"/>
      <c r="R17" s="157"/>
      <c r="S17" s="158"/>
      <c r="T17" s="158"/>
      <c r="U17" s="159">
        <f t="shared" si="3"/>
        <v>0</v>
      </c>
      <c r="V17" s="160"/>
      <c r="W17" s="157"/>
      <c r="X17" s="158"/>
      <c r="Y17" s="158"/>
      <c r="Z17" s="159">
        <f t="shared" si="4"/>
        <v>0</v>
      </c>
      <c r="AA17" s="160"/>
      <c r="AB17" s="157"/>
      <c r="AC17" s="158"/>
      <c r="AD17" s="158"/>
      <c r="AE17" s="159">
        <f t="shared" si="5"/>
        <v>0</v>
      </c>
      <c r="AF17" s="161">
        <f t="shared" si="6"/>
        <v>710.40000000000009</v>
      </c>
      <c r="AG17" s="162">
        <f t="shared" si="7"/>
        <v>55745.050053446932</v>
      </c>
      <c r="AH17" s="159">
        <f t="shared" si="8"/>
        <v>0</v>
      </c>
      <c r="AI17" s="159">
        <f t="shared" si="9"/>
        <v>0</v>
      </c>
      <c r="AJ17" s="163">
        <f t="shared" si="10"/>
        <v>55745.050053446932</v>
      </c>
    </row>
    <row r="18" spans="1:36" x14ac:dyDescent="0.25">
      <c r="A18" s="164" t="s">
        <v>22</v>
      </c>
      <c r="B18" s="156">
        <v>888</v>
      </c>
      <c r="C18" s="157">
        <v>50.783609339870409</v>
      </c>
      <c r="D18" s="158"/>
      <c r="E18" s="158"/>
      <c r="F18" s="159">
        <f t="shared" si="0"/>
        <v>45095.845093804921</v>
      </c>
      <c r="G18" s="160"/>
      <c r="H18" s="157"/>
      <c r="I18" s="158"/>
      <c r="J18" s="158"/>
      <c r="K18" s="159">
        <f t="shared" si="1"/>
        <v>0</v>
      </c>
      <c r="L18" s="160"/>
      <c r="M18" s="157"/>
      <c r="N18" s="158"/>
      <c r="O18" s="158"/>
      <c r="P18" s="159">
        <f t="shared" si="2"/>
        <v>0</v>
      </c>
      <c r="Q18" s="160"/>
      <c r="R18" s="157"/>
      <c r="S18" s="158"/>
      <c r="T18" s="158"/>
      <c r="U18" s="159">
        <f t="shared" si="3"/>
        <v>0</v>
      </c>
      <c r="V18" s="160"/>
      <c r="W18" s="157"/>
      <c r="X18" s="158"/>
      <c r="Y18" s="158"/>
      <c r="Z18" s="159">
        <f t="shared" si="4"/>
        <v>0</v>
      </c>
      <c r="AA18" s="160"/>
      <c r="AB18" s="157"/>
      <c r="AC18" s="158"/>
      <c r="AD18" s="158"/>
      <c r="AE18" s="159">
        <f t="shared" si="5"/>
        <v>0</v>
      </c>
      <c r="AF18" s="161">
        <f t="shared" si="6"/>
        <v>888</v>
      </c>
      <c r="AG18" s="162">
        <f t="shared" si="7"/>
        <v>45095.845093804921</v>
      </c>
      <c r="AH18" s="159">
        <f t="shared" si="8"/>
        <v>0</v>
      </c>
      <c r="AI18" s="159">
        <f t="shared" si="9"/>
        <v>0</v>
      </c>
      <c r="AJ18" s="163">
        <f t="shared" si="10"/>
        <v>45095.845093804921</v>
      </c>
    </row>
    <row r="19" spans="1:36" x14ac:dyDescent="0.25">
      <c r="A19" s="164" t="s">
        <v>23</v>
      </c>
      <c r="B19" s="156">
        <v>874.8</v>
      </c>
      <c r="C19" s="157">
        <v>92.512785552330143</v>
      </c>
      <c r="D19" s="158"/>
      <c r="E19" s="158"/>
      <c r="F19" s="159">
        <f t="shared" si="0"/>
        <v>80930.184801178402</v>
      </c>
      <c r="G19" s="160"/>
      <c r="H19" s="157"/>
      <c r="I19" s="158"/>
      <c r="J19" s="158"/>
      <c r="K19" s="159">
        <f t="shared" si="1"/>
        <v>0</v>
      </c>
      <c r="L19" s="160"/>
      <c r="M19" s="157"/>
      <c r="N19" s="158"/>
      <c r="O19" s="158"/>
      <c r="P19" s="159">
        <f t="shared" si="2"/>
        <v>0</v>
      </c>
      <c r="Q19" s="160"/>
      <c r="R19" s="157"/>
      <c r="S19" s="158"/>
      <c r="T19" s="158"/>
      <c r="U19" s="159">
        <f t="shared" si="3"/>
        <v>0</v>
      </c>
      <c r="V19" s="160"/>
      <c r="W19" s="157"/>
      <c r="X19" s="158"/>
      <c r="Y19" s="158"/>
      <c r="Z19" s="159">
        <f t="shared" si="4"/>
        <v>0</v>
      </c>
      <c r="AA19" s="160"/>
      <c r="AB19" s="157"/>
      <c r="AC19" s="158"/>
      <c r="AD19" s="158"/>
      <c r="AE19" s="159">
        <f t="shared" si="5"/>
        <v>0</v>
      </c>
      <c r="AF19" s="161">
        <f t="shared" si="6"/>
        <v>874.8</v>
      </c>
      <c r="AG19" s="162">
        <f t="shared" si="7"/>
        <v>80930.184801178402</v>
      </c>
      <c r="AH19" s="159">
        <f t="shared" si="8"/>
        <v>0</v>
      </c>
      <c r="AI19" s="159">
        <f t="shared" si="9"/>
        <v>0</v>
      </c>
      <c r="AJ19" s="163">
        <f t="shared" si="10"/>
        <v>80930.184801178402</v>
      </c>
    </row>
    <row r="20" spans="1:36" x14ac:dyDescent="0.25">
      <c r="A20" s="164" t="s">
        <v>24</v>
      </c>
      <c r="B20" s="156">
        <v>735.8</v>
      </c>
      <c r="C20" s="157">
        <v>110.11195383592931</v>
      </c>
      <c r="D20" s="158"/>
      <c r="E20" s="158"/>
      <c r="F20" s="159">
        <f t="shared" si="0"/>
        <v>81020.375632476789</v>
      </c>
      <c r="G20" s="160"/>
      <c r="H20" s="157"/>
      <c r="I20" s="158"/>
      <c r="J20" s="158"/>
      <c r="K20" s="159">
        <f t="shared" si="1"/>
        <v>0</v>
      </c>
      <c r="L20" s="160"/>
      <c r="M20" s="157"/>
      <c r="N20" s="158"/>
      <c r="O20" s="158"/>
      <c r="P20" s="159">
        <f t="shared" si="2"/>
        <v>0</v>
      </c>
      <c r="Q20" s="160">
        <v>14.790000000000001</v>
      </c>
      <c r="R20" s="157">
        <v>110.11195383592931</v>
      </c>
      <c r="S20" s="158"/>
      <c r="T20" s="158"/>
      <c r="U20" s="159">
        <f t="shared" si="3"/>
        <v>1628.5557972333947</v>
      </c>
      <c r="V20" s="160"/>
      <c r="W20" s="157"/>
      <c r="X20" s="158"/>
      <c r="Y20" s="158"/>
      <c r="Z20" s="159">
        <f t="shared" si="4"/>
        <v>0</v>
      </c>
      <c r="AA20" s="160"/>
      <c r="AB20" s="157"/>
      <c r="AC20" s="158"/>
      <c r="AD20" s="158"/>
      <c r="AE20" s="159">
        <f t="shared" si="5"/>
        <v>0</v>
      </c>
      <c r="AF20" s="161">
        <f t="shared" si="6"/>
        <v>750.58999999999992</v>
      </c>
      <c r="AG20" s="162">
        <f t="shared" si="7"/>
        <v>82648.931429710181</v>
      </c>
      <c r="AH20" s="159">
        <f t="shared" si="8"/>
        <v>0</v>
      </c>
      <c r="AI20" s="159">
        <f t="shared" si="9"/>
        <v>0</v>
      </c>
      <c r="AJ20" s="163">
        <f t="shared" si="10"/>
        <v>82648.931429710181</v>
      </c>
    </row>
    <row r="21" spans="1:36" x14ac:dyDescent="0.25">
      <c r="A21" s="164" t="s">
        <v>25</v>
      </c>
      <c r="B21" s="156">
        <v>710.40000000000009</v>
      </c>
      <c r="C21" s="157">
        <v>79.927632846518947</v>
      </c>
      <c r="D21" s="158"/>
      <c r="E21" s="158"/>
      <c r="F21" s="159">
        <f t="shared" si="0"/>
        <v>56780.59037416707</v>
      </c>
      <c r="G21" s="160"/>
      <c r="H21" s="157"/>
      <c r="I21" s="158"/>
      <c r="J21" s="158"/>
      <c r="K21" s="159">
        <f t="shared" si="1"/>
        <v>0</v>
      </c>
      <c r="L21" s="160"/>
      <c r="M21" s="157"/>
      <c r="N21" s="158"/>
      <c r="O21" s="158"/>
      <c r="P21" s="159">
        <f t="shared" si="2"/>
        <v>0</v>
      </c>
      <c r="Q21" s="160"/>
      <c r="R21" s="157"/>
      <c r="S21" s="158"/>
      <c r="T21" s="158"/>
      <c r="U21" s="159">
        <f t="shared" si="3"/>
        <v>0</v>
      </c>
      <c r="V21" s="160"/>
      <c r="W21" s="157"/>
      <c r="X21" s="158"/>
      <c r="Y21" s="158"/>
      <c r="Z21" s="159">
        <f t="shared" si="4"/>
        <v>0</v>
      </c>
      <c r="AA21" s="160"/>
      <c r="AB21" s="157"/>
      <c r="AC21" s="158"/>
      <c r="AD21" s="158"/>
      <c r="AE21" s="159">
        <f t="shared" si="5"/>
        <v>0</v>
      </c>
      <c r="AF21" s="161">
        <f t="shared" si="6"/>
        <v>710.40000000000009</v>
      </c>
      <c r="AG21" s="162">
        <f t="shared" si="7"/>
        <v>56780.59037416707</v>
      </c>
      <c r="AH21" s="159">
        <f t="shared" si="8"/>
        <v>0</v>
      </c>
      <c r="AI21" s="159">
        <f t="shared" si="9"/>
        <v>0</v>
      </c>
      <c r="AJ21" s="163">
        <f t="shared" si="10"/>
        <v>56780.59037416707</v>
      </c>
    </row>
    <row r="22" spans="1:36" x14ac:dyDescent="0.25">
      <c r="A22" s="164" t="s">
        <v>26</v>
      </c>
      <c r="B22" s="156"/>
      <c r="C22" s="157"/>
      <c r="D22" s="158"/>
      <c r="E22" s="158"/>
      <c r="F22" s="159">
        <f t="shared" si="0"/>
        <v>0</v>
      </c>
      <c r="G22" s="160"/>
      <c r="H22" s="157"/>
      <c r="I22" s="158"/>
      <c r="J22" s="158"/>
      <c r="K22" s="159">
        <f t="shared" si="1"/>
        <v>0</v>
      </c>
      <c r="L22" s="160"/>
      <c r="M22" s="157"/>
      <c r="N22" s="158"/>
      <c r="O22" s="158"/>
      <c r="P22" s="159">
        <f t="shared" si="2"/>
        <v>0</v>
      </c>
      <c r="Q22" s="160">
        <v>905.76</v>
      </c>
      <c r="R22" s="157">
        <v>152.01775876451867</v>
      </c>
      <c r="S22" s="158"/>
      <c r="T22" s="158"/>
      <c r="U22" s="159">
        <f t="shared" si="3"/>
        <v>137691.60517855044</v>
      </c>
      <c r="V22" s="160"/>
      <c r="W22" s="157"/>
      <c r="X22" s="158"/>
      <c r="Y22" s="158"/>
      <c r="Z22" s="159">
        <f t="shared" si="4"/>
        <v>0</v>
      </c>
      <c r="AA22" s="160"/>
      <c r="AB22" s="157"/>
      <c r="AC22" s="158"/>
      <c r="AD22" s="158"/>
      <c r="AE22" s="159">
        <f t="shared" si="5"/>
        <v>0</v>
      </c>
      <c r="AF22" s="161">
        <f t="shared" si="6"/>
        <v>905.76</v>
      </c>
      <c r="AG22" s="162">
        <f t="shared" si="7"/>
        <v>137691.60517855044</v>
      </c>
      <c r="AH22" s="159">
        <f t="shared" si="8"/>
        <v>0</v>
      </c>
      <c r="AI22" s="159">
        <f t="shared" si="9"/>
        <v>0</v>
      </c>
      <c r="AJ22" s="163">
        <f t="shared" si="10"/>
        <v>137691.60517855044</v>
      </c>
    </row>
    <row r="23" spans="1:36" x14ac:dyDescent="0.25">
      <c r="A23" s="164" t="s">
        <v>27</v>
      </c>
      <c r="B23" s="156">
        <v>403.5</v>
      </c>
      <c r="C23" s="157">
        <v>145.70135608237749</v>
      </c>
      <c r="D23" s="158"/>
      <c r="E23" s="158"/>
      <c r="F23" s="159">
        <f t="shared" si="0"/>
        <v>58790.497179239319</v>
      </c>
      <c r="G23" s="160"/>
      <c r="H23" s="157"/>
      <c r="I23" s="158"/>
      <c r="J23" s="158"/>
      <c r="K23" s="159">
        <f t="shared" si="1"/>
        <v>0</v>
      </c>
      <c r="L23" s="160"/>
      <c r="M23" s="157"/>
      <c r="N23" s="158"/>
      <c r="O23" s="158"/>
      <c r="P23" s="159">
        <f t="shared" si="2"/>
        <v>0</v>
      </c>
      <c r="Q23" s="160">
        <v>101</v>
      </c>
      <c r="R23" s="157">
        <v>145.70135608237749</v>
      </c>
      <c r="S23" s="158"/>
      <c r="T23" s="158"/>
      <c r="U23" s="159">
        <f t="shared" si="3"/>
        <v>14715.836964320126</v>
      </c>
      <c r="V23" s="160">
        <v>259</v>
      </c>
      <c r="W23" s="157">
        <v>145.70135608237749</v>
      </c>
      <c r="X23" s="158"/>
      <c r="Y23" s="158"/>
      <c r="Z23" s="159">
        <f t="shared" si="4"/>
        <v>37736.651225335772</v>
      </c>
      <c r="AA23" s="160">
        <v>23</v>
      </c>
      <c r="AB23" s="157">
        <v>145.70135608237749</v>
      </c>
      <c r="AC23" s="158"/>
      <c r="AD23" s="158"/>
      <c r="AE23" s="159">
        <f t="shared" si="5"/>
        <v>3351.1311898946824</v>
      </c>
      <c r="AF23" s="161">
        <f t="shared" si="6"/>
        <v>786.5</v>
      </c>
      <c r="AG23" s="162">
        <f t="shared" si="7"/>
        <v>114594.11655878992</v>
      </c>
      <c r="AH23" s="159">
        <f t="shared" si="8"/>
        <v>0</v>
      </c>
      <c r="AI23" s="159">
        <f t="shared" si="9"/>
        <v>0</v>
      </c>
      <c r="AJ23" s="163">
        <f t="shared" si="10"/>
        <v>114594.11655878992</v>
      </c>
    </row>
    <row r="24" spans="1:36" x14ac:dyDescent="0.25">
      <c r="A24" s="164" t="s">
        <v>28</v>
      </c>
      <c r="B24" s="156"/>
      <c r="C24" s="157"/>
      <c r="D24" s="158"/>
      <c r="E24" s="158"/>
      <c r="F24" s="159">
        <f t="shared" si="0"/>
        <v>0</v>
      </c>
      <c r="G24" s="160"/>
      <c r="H24" s="157"/>
      <c r="I24" s="158"/>
      <c r="J24" s="158"/>
      <c r="K24" s="159">
        <f t="shared" si="1"/>
        <v>0</v>
      </c>
      <c r="L24" s="160"/>
      <c r="M24" s="157"/>
      <c r="N24" s="158"/>
      <c r="O24" s="158"/>
      <c r="P24" s="159">
        <f t="shared" si="2"/>
        <v>0</v>
      </c>
      <c r="Q24" s="160">
        <v>3623.04</v>
      </c>
      <c r="R24" s="157">
        <v>145.96335653357499</v>
      </c>
      <c r="S24" s="158"/>
      <c r="T24" s="158"/>
      <c r="U24" s="159">
        <f t="shared" si="3"/>
        <v>528831.0792554036</v>
      </c>
      <c r="V24" s="160"/>
      <c r="W24" s="157"/>
      <c r="X24" s="158"/>
      <c r="Y24" s="158"/>
      <c r="Z24" s="159">
        <f t="shared" si="4"/>
        <v>0</v>
      </c>
      <c r="AA24" s="160"/>
      <c r="AB24" s="157"/>
      <c r="AC24" s="158"/>
      <c r="AD24" s="158"/>
      <c r="AE24" s="159">
        <f t="shared" si="5"/>
        <v>0</v>
      </c>
      <c r="AF24" s="161">
        <f t="shared" si="6"/>
        <v>3623.04</v>
      </c>
      <c r="AG24" s="162">
        <f t="shared" si="7"/>
        <v>528831.0792554036</v>
      </c>
      <c r="AH24" s="159">
        <f t="shared" si="8"/>
        <v>0</v>
      </c>
      <c r="AI24" s="159">
        <f t="shared" si="9"/>
        <v>0</v>
      </c>
      <c r="AJ24" s="163">
        <f t="shared" si="10"/>
        <v>528831.0792554036</v>
      </c>
    </row>
    <row r="25" spans="1:36" x14ac:dyDescent="0.25">
      <c r="A25" s="164" t="s">
        <v>29</v>
      </c>
      <c r="B25" s="156">
        <v>888</v>
      </c>
      <c r="C25" s="157">
        <v>84.717795067596569</v>
      </c>
      <c r="D25" s="158"/>
      <c r="E25" s="158"/>
      <c r="F25" s="159">
        <f t="shared" si="0"/>
        <v>75229.402020025751</v>
      </c>
      <c r="G25" s="160"/>
      <c r="H25" s="157"/>
      <c r="I25" s="158"/>
      <c r="J25" s="158"/>
      <c r="K25" s="159">
        <f t="shared" si="1"/>
        <v>0</v>
      </c>
      <c r="L25" s="160"/>
      <c r="M25" s="157"/>
      <c r="N25" s="158"/>
      <c r="O25" s="158"/>
      <c r="P25" s="159">
        <f t="shared" si="2"/>
        <v>0</v>
      </c>
      <c r="Q25" s="160"/>
      <c r="R25" s="157"/>
      <c r="S25" s="158"/>
      <c r="T25" s="158"/>
      <c r="U25" s="159">
        <f t="shared" si="3"/>
        <v>0</v>
      </c>
      <c r="V25" s="160"/>
      <c r="W25" s="157"/>
      <c r="X25" s="158"/>
      <c r="Y25" s="158"/>
      <c r="Z25" s="159">
        <f t="shared" si="4"/>
        <v>0</v>
      </c>
      <c r="AA25" s="160"/>
      <c r="AB25" s="157"/>
      <c r="AC25" s="158"/>
      <c r="AD25" s="158"/>
      <c r="AE25" s="159">
        <f t="shared" si="5"/>
        <v>0</v>
      </c>
      <c r="AF25" s="161">
        <f t="shared" si="6"/>
        <v>888</v>
      </c>
      <c r="AG25" s="162">
        <f t="shared" si="7"/>
        <v>75229.402020025751</v>
      </c>
      <c r="AH25" s="159">
        <f t="shared" si="8"/>
        <v>0</v>
      </c>
      <c r="AI25" s="159">
        <f t="shared" si="9"/>
        <v>0</v>
      </c>
      <c r="AJ25" s="163">
        <f t="shared" si="10"/>
        <v>75229.402020025751</v>
      </c>
    </row>
    <row r="26" spans="1:36" x14ac:dyDescent="0.25">
      <c r="A26" s="164" t="s">
        <v>30</v>
      </c>
      <c r="B26" s="156">
        <v>626.79999999999995</v>
      </c>
      <c r="C26" s="157">
        <v>125.89069069508906</v>
      </c>
      <c r="D26" s="158"/>
      <c r="E26" s="158"/>
      <c r="F26" s="159">
        <f t="shared" si="0"/>
        <v>78908.284927681816</v>
      </c>
      <c r="G26" s="160"/>
      <c r="H26" s="157"/>
      <c r="I26" s="158"/>
      <c r="J26" s="158"/>
      <c r="K26" s="159">
        <f t="shared" si="1"/>
        <v>0</v>
      </c>
      <c r="L26" s="160"/>
      <c r="M26" s="157"/>
      <c r="N26" s="158"/>
      <c r="O26" s="158"/>
      <c r="P26" s="159">
        <f t="shared" si="2"/>
        <v>0</v>
      </c>
      <c r="Q26" s="160">
        <v>11.22</v>
      </c>
      <c r="R26" s="157">
        <v>125.89069069508906</v>
      </c>
      <c r="S26" s="158"/>
      <c r="T26" s="158"/>
      <c r="U26" s="159">
        <f t="shared" si="3"/>
        <v>1412.4935495988993</v>
      </c>
      <c r="V26" s="160">
        <v>436</v>
      </c>
      <c r="W26" s="157">
        <v>125.89069069508906</v>
      </c>
      <c r="X26" s="158"/>
      <c r="Y26" s="158"/>
      <c r="Z26" s="159">
        <f t="shared" si="4"/>
        <v>54888.341143058831</v>
      </c>
      <c r="AA26" s="160"/>
      <c r="AB26" s="157"/>
      <c r="AC26" s="158"/>
      <c r="AD26" s="158"/>
      <c r="AE26" s="159">
        <f t="shared" si="5"/>
        <v>0</v>
      </c>
      <c r="AF26" s="161">
        <f t="shared" si="6"/>
        <v>1074.02</v>
      </c>
      <c r="AG26" s="162">
        <f t="shared" si="7"/>
        <v>135209.11962033954</v>
      </c>
      <c r="AH26" s="159">
        <f t="shared" si="8"/>
        <v>0</v>
      </c>
      <c r="AI26" s="159">
        <f t="shared" si="9"/>
        <v>0</v>
      </c>
      <c r="AJ26" s="163">
        <f t="shared" si="10"/>
        <v>135209.11962033954</v>
      </c>
    </row>
    <row r="27" spans="1:36" x14ac:dyDescent="0.25">
      <c r="A27" s="164" t="s">
        <v>31</v>
      </c>
      <c r="B27" s="156">
        <v>532.79999999999995</v>
      </c>
      <c r="C27" s="157">
        <v>72.525253661195194</v>
      </c>
      <c r="D27" s="158"/>
      <c r="E27" s="158"/>
      <c r="F27" s="159">
        <f t="shared" si="0"/>
        <v>38641.455150684793</v>
      </c>
      <c r="G27" s="160"/>
      <c r="H27" s="157"/>
      <c r="I27" s="158"/>
      <c r="J27" s="158"/>
      <c r="K27" s="159">
        <f t="shared" si="1"/>
        <v>0</v>
      </c>
      <c r="L27" s="160"/>
      <c r="M27" s="157"/>
      <c r="N27" s="158"/>
      <c r="O27" s="158"/>
      <c r="P27" s="159">
        <f t="shared" si="2"/>
        <v>0</v>
      </c>
      <c r="Q27" s="160"/>
      <c r="R27" s="157"/>
      <c r="S27" s="158"/>
      <c r="T27" s="158"/>
      <c r="U27" s="159">
        <f t="shared" si="3"/>
        <v>0</v>
      </c>
      <c r="V27" s="160">
        <v>532.79999999999995</v>
      </c>
      <c r="W27" s="157">
        <v>72.525253661195194</v>
      </c>
      <c r="X27" s="158"/>
      <c r="Y27" s="158"/>
      <c r="Z27" s="159">
        <f t="shared" si="4"/>
        <v>38641.455150684793</v>
      </c>
      <c r="AA27" s="160"/>
      <c r="AB27" s="157"/>
      <c r="AC27" s="158"/>
      <c r="AD27" s="158"/>
      <c r="AE27" s="159">
        <f t="shared" si="5"/>
        <v>0</v>
      </c>
      <c r="AF27" s="161">
        <f t="shared" si="6"/>
        <v>1065.5999999999999</v>
      </c>
      <c r="AG27" s="162">
        <f t="shared" si="7"/>
        <v>77282.910301369586</v>
      </c>
      <c r="AH27" s="159">
        <f t="shared" si="8"/>
        <v>0</v>
      </c>
      <c r="AI27" s="159">
        <f t="shared" si="9"/>
        <v>0</v>
      </c>
      <c r="AJ27" s="163">
        <f t="shared" si="10"/>
        <v>77282.910301369586</v>
      </c>
    </row>
    <row r="28" spans="1:36" x14ac:dyDescent="0.25">
      <c r="A28" s="164" t="s">
        <v>32</v>
      </c>
      <c r="B28" s="156">
        <v>1090.5999999999999</v>
      </c>
      <c r="C28" s="157">
        <v>85.880077649139366</v>
      </c>
      <c r="D28" s="158"/>
      <c r="E28" s="158"/>
      <c r="F28" s="159">
        <f t="shared" si="0"/>
        <v>93660.812684151388</v>
      </c>
      <c r="G28" s="160"/>
      <c r="H28" s="157"/>
      <c r="I28" s="158"/>
      <c r="J28" s="158"/>
      <c r="K28" s="159">
        <f t="shared" si="1"/>
        <v>0</v>
      </c>
      <c r="L28" s="160"/>
      <c r="M28" s="157"/>
      <c r="N28" s="158"/>
      <c r="O28" s="158"/>
      <c r="P28" s="159">
        <f t="shared" si="2"/>
        <v>0</v>
      </c>
      <c r="Q28" s="160">
        <v>7.1400000000000006</v>
      </c>
      <c r="R28" s="157">
        <v>85.880077649139366</v>
      </c>
      <c r="S28" s="158"/>
      <c r="T28" s="158"/>
      <c r="U28" s="159">
        <f t="shared" si="3"/>
        <v>613.18375441485512</v>
      </c>
      <c r="V28" s="160">
        <v>1315</v>
      </c>
      <c r="W28" s="157">
        <v>85.880077649139366</v>
      </c>
      <c r="X28" s="158"/>
      <c r="Y28" s="158"/>
      <c r="Z28" s="159">
        <f t="shared" si="4"/>
        <v>112932.30210861827</v>
      </c>
      <c r="AA28" s="160">
        <v>7</v>
      </c>
      <c r="AB28" s="157">
        <v>85.880077649139366</v>
      </c>
      <c r="AC28" s="158"/>
      <c r="AD28" s="158"/>
      <c r="AE28" s="159">
        <f t="shared" si="5"/>
        <v>601.16054354397556</v>
      </c>
      <c r="AF28" s="161">
        <f t="shared" si="6"/>
        <v>2419.7399999999998</v>
      </c>
      <c r="AG28" s="162">
        <f t="shared" si="7"/>
        <v>207807.45909072849</v>
      </c>
      <c r="AH28" s="159">
        <f t="shared" si="8"/>
        <v>0</v>
      </c>
      <c r="AI28" s="159">
        <f t="shared" si="9"/>
        <v>0</v>
      </c>
      <c r="AJ28" s="163">
        <f t="shared" si="10"/>
        <v>207807.45909072849</v>
      </c>
    </row>
    <row r="29" spans="1:36" x14ac:dyDescent="0.25">
      <c r="A29" s="164" t="s">
        <v>33</v>
      </c>
      <c r="B29" s="156">
        <v>889.00599999999997</v>
      </c>
      <c r="C29" s="157">
        <v>136.66368698900979</v>
      </c>
      <c r="D29" s="158"/>
      <c r="E29" s="158"/>
      <c r="F29" s="159">
        <f t="shared" si="0"/>
        <v>121494.83771535163</v>
      </c>
      <c r="G29" s="160"/>
      <c r="H29" s="157"/>
      <c r="I29" s="158"/>
      <c r="J29" s="158"/>
      <c r="K29" s="159">
        <f t="shared" si="1"/>
        <v>0</v>
      </c>
      <c r="L29" s="160"/>
      <c r="M29" s="157"/>
      <c r="N29" s="158"/>
      <c r="O29" s="158"/>
      <c r="P29" s="159">
        <f t="shared" si="2"/>
        <v>0</v>
      </c>
      <c r="Q29" s="160">
        <v>104.55</v>
      </c>
      <c r="R29" s="157">
        <v>136.66368698900979</v>
      </c>
      <c r="S29" s="158"/>
      <c r="T29" s="158"/>
      <c r="U29" s="159">
        <f t="shared" si="3"/>
        <v>14288.188474700974</v>
      </c>
      <c r="V29" s="160">
        <v>2087</v>
      </c>
      <c r="W29" s="157">
        <v>136.66368698900979</v>
      </c>
      <c r="X29" s="158"/>
      <c r="Y29" s="158"/>
      <c r="Z29" s="159">
        <f t="shared" si="4"/>
        <v>285217.11474606342</v>
      </c>
      <c r="AA29" s="160">
        <v>1100</v>
      </c>
      <c r="AB29" s="157">
        <v>136.66368698900979</v>
      </c>
      <c r="AC29" s="158"/>
      <c r="AD29" s="158"/>
      <c r="AE29" s="159">
        <f t="shared" si="5"/>
        <v>150330.05568791076</v>
      </c>
      <c r="AF29" s="161">
        <f t="shared" si="6"/>
        <v>4180.5560000000005</v>
      </c>
      <c r="AG29" s="162">
        <f t="shared" si="7"/>
        <v>571330.19662402675</v>
      </c>
      <c r="AH29" s="159">
        <f t="shared" si="8"/>
        <v>0</v>
      </c>
      <c r="AI29" s="159">
        <f t="shared" si="9"/>
        <v>0</v>
      </c>
      <c r="AJ29" s="163">
        <f t="shared" si="10"/>
        <v>571330.19662402675</v>
      </c>
    </row>
    <row r="30" spans="1:36" x14ac:dyDescent="0.25">
      <c r="A30" s="164" t="s">
        <v>34</v>
      </c>
      <c r="B30" s="156">
        <v>319.8</v>
      </c>
      <c r="C30" s="157">
        <v>146.22917347762916</v>
      </c>
      <c r="D30" s="158"/>
      <c r="E30" s="158"/>
      <c r="F30" s="159">
        <f t="shared" si="0"/>
        <v>46764.089678145807</v>
      </c>
      <c r="G30" s="160"/>
      <c r="H30" s="157"/>
      <c r="I30" s="158"/>
      <c r="J30" s="158"/>
      <c r="K30" s="159">
        <f t="shared" si="1"/>
        <v>0</v>
      </c>
      <c r="L30" s="160"/>
      <c r="M30" s="157"/>
      <c r="N30" s="158"/>
      <c r="O30" s="158"/>
      <c r="P30" s="159">
        <f t="shared" si="2"/>
        <v>0</v>
      </c>
      <c r="Q30" s="160">
        <v>110.67</v>
      </c>
      <c r="R30" s="157">
        <v>146.22917347762916</v>
      </c>
      <c r="S30" s="158"/>
      <c r="T30" s="158"/>
      <c r="U30" s="159">
        <f t="shared" si="3"/>
        <v>16183.18262876922</v>
      </c>
      <c r="V30" s="160">
        <v>612</v>
      </c>
      <c r="W30" s="157">
        <v>146.22917347762916</v>
      </c>
      <c r="X30" s="158"/>
      <c r="Y30" s="158"/>
      <c r="Z30" s="159">
        <f t="shared" si="4"/>
        <v>89492.254168309053</v>
      </c>
      <c r="AA30" s="160">
        <v>272</v>
      </c>
      <c r="AB30" s="157">
        <v>146.22917347762916</v>
      </c>
      <c r="AC30" s="158"/>
      <c r="AD30" s="158"/>
      <c r="AE30" s="159">
        <f t="shared" si="5"/>
        <v>39774.33518591513</v>
      </c>
      <c r="AF30" s="161">
        <f t="shared" si="6"/>
        <v>1314.47</v>
      </c>
      <c r="AG30" s="162">
        <f t="shared" si="7"/>
        <v>192213.86166113918</v>
      </c>
      <c r="AH30" s="159">
        <f t="shared" si="8"/>
        <v>0</v>
      </c>
      <c r="AI30" s="159">
        <f t="shared" si="9"/>
        <v>0</v>
      </c>
      <c r="AJ30" s="163">
        <f t="shared" si="10"/>
        <v>192213.86166113918</v>
      </c>
    </row>
    <row r="31" spans="1:36" x14ac:dyDescent="0.25">
      <c r="A31" s="164" t="s">
        <v>35</v>
      </c>
      <c r="B31" s="156">
        <v>177.8</v>
      </c>
      <c r="C31" s="157">
        <v>83.340504832412933</v>
      </c>
      <c r="D31" s="158"/>
      <c r="E31" s="158"/>
      <c r="F31" s="159">
        <f t="shared" si="0"/>
        <v>14817.94175920302</v>
      </c>
      <c r="G31" s="160"/>
      <c r="H31" s="157"/>
      <c r="I31" s="158"/>
      <c r="J31" s="158"/>
      <c r="K31" s="159">
        <f t="shared" si="1"/>
        <v>0</v>
      </c>
      <c r="L31" s="160"/>
      <c r="M31" s="157"/>
      <c r="N31" s="158"/>
      <c r="O31" s="158"/>
      <c r="P31" s="159">
        <f t="shared" si="2"/>
        <v>0</v>
      </c>
      <c r="Q31" s="160">
        <v>11.22</v>
      </c>
      <c r="R31" s="157">
        <v>83.340504832412933</v>
      </c>
      <c r="S31" s="158"/>
      <c r="T31" s="158"/>
      <c r="U31" s="159">
        <f t="shared" si="3"/>
        <v>935.0804642196731</v>
      </c>
      <c r="V31" s="160">
        <v>561</v>
      </c>
      <c r="W31" s="157">
        <v>83.340504832412933</v>
      </c>
      <c r="X31" s="158"/>
      <c r="Y31" s="158"/>
      <c r="Z31" s="159">
        <f t="shared" si="4"/>
        <v>46754.023210983658</v>
      </c>
      <c r="AA31" s="160">
        <v>1850</v>
      </c>
      <c r="AB31" s="157">
        <v>83.340504832412933</v>
      </c>
      <c r="AC31" s="158"/>
      <c r="AD31" s="158"/>
      <c r="AE31" s="159">
        <f t="shared" si="5"/>
        <v>154179.93393996393</v>
      </c>
      <c r="AF31" s="161">
        <f t="shared" si="6"/>
        <v>2600.02</v>
      </c>
      <c r="AG31" s="162">
        <f t="shared" si="7"/>
        <v>216686.97937437028</v>
      </c>
      <c r="AH31" s="159">
        <f t="shared" si="8"/>
        <v>0</v>
      </c>
      <c r="AI31" s="159">
        <f t="shared" si="9"/>
        <v>0</v>
      </c>
      <c r="AJ31" s="163">
        <f t="shared" si="10"/>
        <v>216686.97937437028</v>
      </c>
    </row>
    <row r="32" spans="1:36" x14ac:dyDescent="0.25">
      <c r="A32" s="164" t="s">
        <v>36</v>
      </c>
      <c r="B32" s="156">
        <v>998.46450000000004</v>
      </c>
      <c r="C32" s="157">
        <v>73.166840589608171</v>
      </c>
      <c r="D32" s="158"/>
      <c r="E32" s="158"/>
      <c r="F32" s="159">
        <f t="shared" si="0"/>
        <v>73054.492905882827</v>
      </c>
      <c r="G32" s="160"/>
      <c r="H32" s="157"/>
      <c r="I32" s="158"/>
      <c r="J32" s="158"/>
      <c r="K32" s="159">
        <f t="shared" si="1"/>
        <v>0</v>
      </c>
      <c r="L32" s="160"/>
      <c r="M32" s="157"/>
      <c r="N32" s="158"/>
      <c r="O32" s="158"/>
      <c r="P32" s="159">
        <f t="shared" si="2"/>
        <v>0</v>
      </c>
      <c r="Q32" s="160">
        <v>965.06790000000001</v>
      </c>
      <c r="R32" s="157">
        <v>73.166840589608171</v>
      </c>
      <c r="S32" s="158"/>
      <c r="T32" s="158"/>
      <c r="U32" s="159">
        <f t="shared" si="3"/>
        <v>70610.969197447921</v>
      </c>
      <c r="V32" s="160">
        <v>225</v>
      </c>
      <c r="W32" s="157">
        <v>73.166840589608171</v>
      </c>
      <c r="X32" s="158"/>
      <c r="Y32" s="158"/>
      <c r="Z32" s="159">
        <f t="shared" si="4"/>
        <v>16462.539132661837</v>
      </c>
      <c r="AA32" s="160">
        <v>1176</v>
      </c>
      <c r="AB32" s="157">
        <v>73.166840589608171</v>
      </c>
      <c r="AC32" s="158"/>
      <c r="AD32" s="158"/>
      <c r="AE32" s="159">
        <f t="shared" si="5"/>
        <v>86044.204533379205</v>
      </c>
      <c r="AF32" s="161">
        <f t="shared" si="6"/>
        <v>3364.5324000000001</v>
      </c>
      <c r="AG32" s="162">
        <f t="shared" si="7"/>
        <v>246172.20576937179</v>
      </c>
      <c r="AH32" s="159">
        <f t="shared" si="8"/>
        <v>0</v>
      </c>
      <c r="AI32" s="159">
        <f t="shared" si="9"/>
        <v>0</v>
      </c>
      <c r="AJ32" s="163">
        <f t="shared" si="10"/>
        <v>246172.20576937179</v>
      </c>
    </row>
    <row r="33" spans="1:36" x14ac:dyDescent="0.25">
      <c r="A33" s="164" t="s">
        <v>37</v>
      </c>
      <c r="B33" s="156">
        <v>201.33499999999998</v>
      </c>
      <c r="C33" s="157">
        <v>96.363947858054672</v>
      </c>
      <c r="D33" s="158"/>
      <c r="E33" s="158"/>
      <c r="F33" s="159">
        <f t="shared" si="0"/>
        <v>19401.435442001435</v>
      </c>
      <c r="G33" s="160"/>
      <c r="H33" s="157"/>
      <c r="I33" s="158"/>
      <c r="J33" s="158"/>
      <c r="K33" s="159">
        <f t="shared" si="1"/>
        <v>0</v>
      </c>
      <c r="L33" s="160"/>
      <c r="M33" s="157"/>
      <c r="N33" s="158"/>
      <c r="O33" s="158"/>
      <c r="P33" s="159">
        <f t="shared" si="2"/>
        <v>0</v>
      </c>
      <c r="Q33" s="160">
        <v>311.93639999999999</v>
      </c>
      <c r="R33" s="157">
        <v>96.363947858054672</v>
      </c>
      <c r="S33" s="158"/>
      <c r="T33" s="158"/>
      <c r="U33" s="159">
        <f t="shared" si="3"/>
        <v>30059.422984629284</v>
      </c>
      <c r="V33" s="160">
        <v>59</v>
      </c>
      <c r="W33" s="157">
        <v>96.363947858054672</v>
      </c>
      <c r="X33" s="158"/>
      <c r="Y33" s="158"/>
      <c r="Z33" s="159">
        <f t="shared" si="4"/>
        <v>5685.472923625226</v>
      </c>
      <c r="AA33" s="160">
        <v>19</v>
      </c>
      <c r="AB33" s="157">
        <v>96.363947858054672</v>
      </c>
      <c r="AC33" s="158"/>
      <c r="AD33" s="158"/>
      <c r="AE33" s="159">
        <f t="shared" si="5"/>
        <v>1830.9150093030387</v>
      </c>
      <c r="AF33" s="161">
        <f t="shared" si="6"/>
        <v>591.27139999999997</v>
      </c>
      <c r="AG33" s="162">
        <f t="shared" si="7"/>
        <v>56977.24635955898</v>
      </c>
      <c r="AH33" s="159">
        <f t="shared" si="8"/>
        <v>0</v>
      </c>
      <c r="AI33" s="159">
        <f t="shared" si="9"/>
        <v>0</v>
      </c>
      <c r="AJ33" s="163">
        <f t="shared" si="10"/>
        <v>56977.24635955898</v>
      </c>
    </row>
    <row r="34" spans="1:36" x14ac:dyDescent="0.25">
      <c r="A34" s="164" t="s">
        <v>38</v>
      </c>
      <c r="B34" s="156"/>
      <c r="C34" s="157"/>
      <c r="D34" s="158"/>
      <c r="E34" s="158"/>
      <c r="F34" s="159">
        <f t="shared" si="0"/>
        <v>0</v>
      </c>
      <c r="G34" s="160"/>
      <c r="H34" s="157"/>
      <c r="I34" s="158"/>
      <c r="J34" s="158"/>
      <c r="K34" s="159">
        <f t="shared" si="1"/>
        <v>0</v>
      </c>
      <c r="L34" s="160"/>
      <c r="M34" s="157"/>
      <c r="N34" s="158"/>
      <c r="O34" s="158"/>
      <c r="P34" s="159">
        <f t="shared" si="2"/>
        <v>0</v>
      </c>
      <c r="Q34" s="160">
        <v>905.76</v>
      </c>
      <c r="R34" s="157">
        <v>72.525253661195194</v>
      </c>
      <c r="S34" s="158"/>
      <c r="T34" s="158"/>
      <c r="U34" s="159">
        <f t="shared" si="3"/>
        <v>65690.473756164152</v>
      </c>
      <c r="V34" s="160"/>
      <c r="W34" s="157"/>
      <c r="X34" s="158"/>
      <c r="Y34" s="158"/>
      <c r="Z34" s="159">
        <f t="shared" si="4"/>
        <v>0</v>
      </c>
      <c r="AA34" s="160"/>
      <c r="AB34" s="157"/>
      <c r="AC34" s="158"/>
      <c r="AD34" s="158"/>
      <c r="AE34" s="159">
        <f t="shared" si="5"/>
        <v>0</v>
      </c>
      <c r="AF34" s="161">
        <f t="shared" si="6"/>
        <v>905.76</v>
      </c>
      <c r="AG34" s="162">
        <f t="shared" si="7"/>
        <v>65690.473756164152</v>
      </c>
      <c r="AH34" s="159">
        <f t="shared" si="8"/>
        <v>0</v>
      </c>
      <c r="AI34" s="159">
        <f t="shared" si="9"/>
        <v>0</v>
      </c>
      <c r="AJ34" s="163">
        <f t="shared" si="10"/>
        <v>65690.473756164152</v>
      </c>
    </row>
    <row r="35" spans="1:36" x14ac:dyDescent="0.25">
      <c r="A35" s="164" t="s">
        <v>39</v>
      </c>
      <c r="B35" s="156"/>
      <c r="C35" s="157"/>
      <c r="D35" s="158"/>
      <c r="E35" s="158"/>
      <c r="F35" s="159">
        <f t="shared" si="0"/>
        <v>0</v>
      </c>
      <c r="G35" s="160"/>
      <c r="H35" s="157"/>
      <c r="I35" s="158"/>
      <c r="J35" s="158"/>
      <c r="K35" s="159">
        <f t="shared" si="1"/>
        <v>0</v>
      </c>
      <c r="L35" s="160"/>
      <c r="M35" s="157"/>
      <c r="N35" s="158"/>
      <c r="O35" s="158"/>
      <c r="P35" s="159">
        <f t="shared" si="2"/>
        <v>0</v>
      </c>
      <c r="Q35" s="160">
        <v>711</v>
      </c>
      <c r="R35" s="157">
        <v>36.465269522958486</v>
      </c>
      <c r="S35" s="158"/>
      <c r="T35" s="158"/>
      <c r="U35" s="159">
        <f t="shared" si="3"/>
        <v>25926.806630823485</v>
      </c>
      <c r="V35" s="160"/>
      <c r="W35" s="157"/>
      <c r="X35" s="158"/>
      <c r="Y35" s="158"/>
      <c r="Z35" s="159">
        <f t="shared" si="4"/>
        <v>0</v>
      </c>
      <c r="AA35" s="160"/>
      <c r="AB35" s="157"/>
      <c r="AC35" s="158"/>
      <c r="AD35" s="158"/>
      <c r="AE35" s="159">
        <f t="shared" si="5"/>
        <v>0</v>
      </c>
      <c r="AF35" s="161">
        <f t="shared" si="6"/>
        <v>711</v>
      </c>
      <c r="AG35" s="162">
        <f t="shared" si="7"/>
        <v>25926.806630823485</v>
      </c>
      <c r="AH35" s="159">
        <f t="shared" si="8"/>
        <v>0</v>
      </c>
      <c r="AI35" s="159">
        <f t="shared" si="9"/>
        <v>0</v>
      </c>
      <c r="AJ35" s="163">
        <f t="shared" si="10"/>
        <v>25926.806630823485</v>
      </c>
    </row>
    <row r="36" spans="1:36" x14ac:dyDescent="0.25">
      <c r="A36" s="164" t="s">
        <v>40</v>
      </c>
      <c r="B36" s="156">
        <v>438.49299999999999</v>
      </c>
      <c r="C36" s="157">
        <v>79.382908744594133</v>
      </c>
      <c r="D36" s="158"/>
      <c r="E36" s="158"/>
      <c r="F36" s="159">
        <f t="shared" si="0"/>
        <v>34808.849804143312</v>
      </c>
      <c r="G36" s="160"/>
      <c r="H36" s="157"/>
      <c r="I36" s="158"/>
      <c r="J36" s="158"/>
      <c r="K36" s="159">
        <f t="shared" si="1"/>
        <v>0</v>
      </c>
      <c r="L36" s="160"/>
      <c r="M36" s="157"/>
      <c r="N36" s="158"/>
      <c r="O36" s="158"/>
      <c r="P36" s="159">
        <f t="shared" si="2"/>
        <v>0</v>
      </c>
      <c r="Q36" s="160">
        <v>159.3699</v>
      </c>
      <c r="R36" s="157">
        <v>79.382908744594133</v>
      </c>
      <c r="S36" s="158"/>
      <c r="T36" s="158"/>
      <c r="U36" s="159">
        <f t="shared" si="3"/>
        <v>12651.246228335092</v>
      </c>
      <c r="V36" s="160">
        <v>82</v>
      </c>
      <c r="W36" s="157">
        <v>79.382908744594133</v>
      </c>
      <c r="X36" s="158"/>
      <c r="Y36" s="158"/>
      <c r="Z36" s="159">
        <f t="shared" si="4"/>
        <v>6509.3985170567184</v>
      </c>
      <c r="AA36" s="160">
        <v>140</v>
      </c>
      <c r="AB36" s="157">
        <v>79.382908744594133</v>
      </c>
      <c r="AC36" s="158"/>
      <c r="AD36" s="158"/>
      <c r="AE36" s="159">
        <f t="shared" si="5"/>
        <v>11113.607224243178</v>
      </c>
      <c r="AF36" s="161">
        <f t="shared" si="6"/>
        <v>819.86290000000008</v>
      </c>
      <c r="AG36" s="162">
        <f t="shared" si="7"/>
        <v>65083.101773778297</v>
      </c>
      <c r="AH36" s="159">
        <f t="shared" si="8"/>
        <v>0</v>
      </c>
      <c r="AI36" s="159">
        <f t="shared" si="9"/>
        <v>0</v>
      </c>
      <c r="AJ36" s="163">
        <f t="shared" si="10"/>
        <v>65083.101773778297</v>
      </c>
    </row>
    <row r="37" spans="1:36" x14ac:dyDescent="0.25">
      <c r="A37" s="164" t="s">
        <v>41</v>
      </c>
      <c r="B37" s="156"/>
      <c r="C37" s="157"/>
      <c r="D37" s="158"/>
      <c r="E37" s="158">
        <v>689000</v>
      </c>
      <c r="F37" s="159">
        <f t="shared" si="0"/>
        <v>689000</v>
      </c>
      <c r="G37" s="160"/>
      <c r="H37" s="157"/>
      <c r="I37" s="158"/>
      <c r="J37" s="158"/>
      <c r="K37" s="159">
        <f t="shared" si="1"/>
        <v>0</v>
      </c>
      <c r="L37" s="160"/>
      <c r="M37" s="157"/>
      <c r="N37" s="158"/>
      <c r="O37" s="158"/>
      <c r="P37" s="159">
        <f t="shared" si="2"/>
        <v>0</v>
      </c>
      <c r="Q37" s="160"/>
      <c r="R37" s="157"/>
      <c r="S37" s="158"/>
      <c r="T37" s="158"/>
      <c r="U37" s="159">
        <f t="shared" si="3"/>
        <v>0</v>
      </c>
      <c r="V37" s="160"/>
      <c r="W37" s="157"/>
      <c r="X37" s="158"/>
      <c r="Y37" s="158"/>
      <c r="Z37" s="159">
        <f t="shared" si="4"/>
        <v>0</v>
      </c>
      <c r="AA37" s="160"/>
      <c r="AB37" s="157"/>
      <c r="AC37" s="158"/>
      <c r="AD37" s="158"/>
      <c r="AE37" s="159">
        <f t="shared" si="5"/>
        <v>0</v>
      </c>
      <c r="AF37" s="161">
        <f t="shared" si="6"/>
        <v>0</v>
      </c>
      <c r="AG37" s="162">
        <f t="shared" si="7"/>
        <v>0</v>
      </c>
      <c r="AH37" s="159">
        <f t="shared" si="8"/>
        <v>0</v>
      </c>
      <c r="AI37" s="159">
        <f t="shared" si="9"/>
        <v>689000</v>
      </c>
      <c r="AJ37" s="163">
        <f t="shared" si="10"/>
        <v>689000</v>
      </c>
    </row>
    <row r="38" spans="1:36" x14ac:dyDescent="0.25">
      <c r="A38" s="164" t="s">
        <v>42</v>
      </c>
      <c r="B38" s="156"/>
      <c r="C38" s="157"/>
      <c r="D38" s="158"/>
      <c r="E38" s="158">
        <v>-68783.5</v>
      </c>
      <c r="F38" s="159">
        <f t="shared" si="0"/>
        <v>-68783.5</v>
      </c>
      <c r="G38" s="160"/>
      <c r="H38" s="157"/>
      <c r="I38" s="158"/>
      <c r="J38" s="158"/>
      <c r="K38" s="159">
        <f t="shared" si="1"/>
        <v>0</v>
      </c>
      <c r="L38" s="160"/>
      <c r="M38" s="157"/>
      <c r="N38" s="158"/>
      <c r="O38" s="158"/>
      <c r="P38" s="159">
        <f t="shared" si="2"/>
        <v>0</v>
      </c>
      <c r="Q38" s="160"/>
      <c r="R38" s="157"/>
      <c r="S38" s="158"/>
      <c r="T38" s="158"/>
      <c r="U38" s="159">
        <f t="shared" si="3"/>
        <v>0</v>
      </c>
      <c r="V38" s="160"/>
      <c r="W38" s="157"/>
      <c r="X38" s="158"/>
      <c r="Y38" s="158"/>
      <c r="Z38" s="159">
        <f t="shared" si="4"/>
        <v>0</v>
      </c>
      <c r="AA38" s="160"/>
      <c r="AB38" s="157"/>
      <c r="AC38" s="158"/>
      <c r="AD38" s="158"/>
      <c r="AE38" s="159">
        <f t="shared" si="5"/>
        <v>0</v>
      </c>
      <c r="AF38" s="161">
        <f t="shared" si="6"/>
        <v>0</v>
      </c>
      <c r="AG38" s="162">
        <f t="shared" si="7"/>
        <v>0</v>
      </c>
      <c r="AH38" s="159">
        <f t="shared" si="8"/>
        <v>0</v>
      </c>
      <c r="AI38" s="159">
        <f t="shared" si="9"/>
        <v>-68783.5</v>
      </c>
      <c r="AJ38" s="163">
        <f t="shared" si="10"/>
        <v>-68783.5</v>
      </c>
    </row>
    <row r="39" spans="1:36" x14ac:dyDescent="0.25">
      <c r="A39" s="164" t="s">
        <v>43</v>
      </c>
      <c r="B39" s="156"/>
      <c r="C39" s="157"/>
      <c r="D39" s="158"/>
      <c r="E39" s="158">
        <v>54727.200000000004</v>
      </c>
      <c r="F39" s="159">
        <f t="shared" si="0"/>
        <v>54727.200000000004</v>
      </c>
      <c r="G39" s="160"/>
      <c r="H39" s="157"/>
      <c r="I39" s="158"/>
      <c r="J39" s="158"/>
      <c r="K39" s="159">
        <f t="shared" si="1"/>
        <v>0</v>
      </c>
      <c r="L39" s="160"/>
      <c r="M39" s="157"/>
      <c r="N39" s="158"/>
      <c r="O39" s="158"/>
      <c r="P39" s="159">
        <f t="shared" si="2"/>
        <v>0</v>
      </c>
      <c r="Q39" s="160"/>
      <c r="R39" s="157"/>
      <c r="S39" s="158"/>
      <c r="T39" s="158"/>
      <c r="U39" s="159">
        <f t="shared" si="3"/>
        <v>0</v>
      </c>
      <c r="V39" s="160"/>
      <c r="W39" s="157"/>
      <c r="X39" s="158"/>
      <c r="Y39" s="158"/>
      <c r="Z39" s="159">
        <f t="shared" si="4"/>
        <v>0</v>
      </c>
      <c r="AA39" s="160"/>
      <c r="AB39" s="157"/>
      <c r="AC39" s="158"/>
      <c r="AD39" s="158"/>
      <c r="AE39" s="159">
        <f t="shared" si="5"/>
        <v>0</v>
      </c>
      <c r="AF39" s="161">
        <f t="shared" si="6"/>
        <v>0</v>
      </c>
      <c r="AG39" s="162">
        <f t="shared" si="7"/>
        <v>0</v>
      </c>
      <c r="AH39" s="159">
        <f t="shared" si="8"/>
        <v>0</v>
      </c>
      <c r="AI39" s="159">
        <f t="shared" si="9"/>
        <v>54727.200000000004</v>
      </c>
      <c r="AJ39" s="163">
        <f t="shared" si="10"/>
        <v>54727.200000000004</v>
      </c>
    </row>
    <row r="40" spans="1:36" x14ac:dyDescent="0.25">
      <c r="A40" s="164" t="s">
        <v>44</v>
      </c>
      <c r="B40" s="156"/>
      <c r="C40" s="157"/>
      <c r="D40" s="158"/>
      <c r="E40" s="158">
        <v>-391903.20870690432</v>
      </c>
      <c r="F40" s="159">
        <f t="shared" si="0"/>
        <v>-391903.20870690432</v>
      </c>
      <c r="G40" s="160"/>
      <c r="H40" s="157"/>
      <c r="I40" s="158"/>
      <c r="J40" s="158"/>
      <c r="K40" s="159">
        <f t="shared" si="1"/>
        <v>0</v>
      </c>
      <c r="L40" s="160"/>
      <c r="M40" s="157"/>
      <c r="N40" s="158"/>
      <c r="O40" s="158"/>
      <c r="P40" s="159">
        <f t="shared" si="2"/>
        <v>0</v>
      </c>
      <c r="Q40" s="160"/>
      <c r="R40" s="157"/>
      <c r="S40" s="158"/>
      <c r="T40" s="158"/>
      <c r="U40" s="159">
        <f t="shared" si="3"/>
        <v>0</v>
      </c>
      <c r="V40" s="160"/>
      <c r="W40" s="157"/>
      <c r="X40" s="158"/>
      <c r="Y40" s="158"/>
      <c r="Z40" s="159">
        <f t="shared" si="4"/>
        <v>0</v>
      </c>
      <c r="AA40" s="160"/>
      <c r="AB40" s="157"/>
      <c r="AC40" s="158"/>
      <c r="AD40" s="158"/>
      <c r="AE40" s="159">
        <f t="shared" si="5"/>
        <v>0</v>
      </c>
      <c r="AF40" s="161">
        <f t="shared" si="6"/>
        <v>0</v>
      </c>
      <c r="AG40" s="162">
        <f t="shared" si="7"/>
        <v>0</v>
      </c>
      <c r="AH40" s="159">
        <f t="shared" si="8"/>
        <v>0</v>
      </c>
      <c r="AI40" s="159">
        <f t="shared" si="9"/>
        <v>-391903.20870690432</v>
      </c>
      <c r="AJ40" s="163">
        <f t="shared" si="10"/>
        <v>-391903.20870690432</v>
      </c>
    </row>
    <row r="41" spans="1:36" x14ac:dyDescent="0.25">
      <c r="A41" s="164" t="s">
        <v>45</v>
      </c>
      <c r="B41" s="156"/>
      <c r="C41" s="157"/>
      <c r="D41" s="158"/>
      <c r="E41" s="158"/>
      <c r="F41" s="159"/>
      <c r="G41" s="160"/>
      <c r="H41" s="157"/>
      <c r="I41" s="158"/>
      <c r="J41" s="158"/>
      <c r="K41" s="159">
        <f t="shared" si="1"/>
        <v>0</v>
      </c>
      <c r="L41" s="160"/>
      <c r="M41" s="157"/>
      <c r="N41" s="158"/>
      <c r="O41" s="158"/>
      <c r="P41" s="159">
        <f t="shared" si="2"/>
        <v>0</v>
      </c>
      <c r="Q41" s="160"/>
      <c r="R41" s="157"/>
      <c r="S41" s="158"/>
      <c r="T41" s="158">
        <f>40000-5268+5000</f>
        <v>39732</v>
      </c>
      <c r="U41" s="159">
        <f t="shared" si="3"/>
        <v>39732</v>
      </c>
      <c r="V41" s="160"/>
      <c r="W41" s="157"/>
      <c r="X41" s="158"/>
      <c r="Y41" s="158"/>
      <c r="Z41" s="159">
        <f t="shared" si="4"/>
        <v>0</v>
      </c>
      <c r="AA41" s="160"/>
      <c r="AB41" s="157"/>
      <c r="AC41" s="158"/>
      <c r="AD41" s="158"/>
      <c r="AE41" s="159">
        <f t="shared" si="5"/>
        <v>0</v>
      </c>
      <c r="AF41" s="161">
        <f t="shared" si="6"/>
        <v>0</v>
      </c>
      <c r="AG41" s="162">
        <f t="shared" si="7"/>
        <v>0</v>
      </c>
      <c r="AH41" s="159">
        <f t="shared" si="8"/>
        <v>0</v>
      </c>
      <c r="AI41" s="159">
        <f t="shared" si="9"/>
        <v>39732</v>
      </c>
      <c r="AJ41" s="163">
        <f t="shared" si="10"/>
        <v>39732</v>
      </c>
    </row>
    <row r="42" spans="1:36" ht="15.75" thickBot="1" x14ac:dyDescent="0.3">
      <c r="A42" s="165" t="s">
        <v>46</v>
      </c>
      <c r="B42" s="156"/>
      <c r="C42" s="157"/>
      <c r="D42" s="158"/>
      <c r="E42" s="158"/>
      <c r="F42" s="159"/>
      <c r="G42" s="160"/>
      <c r="H42" s="157"/>
      <c r="I42" s="158"/>
      <c r="J42" s="158"/>
      <c r="K42" s="159">
        <f t="shared" si="1"/>
        <v>0</v>
      </c>
      <c r="L42" s="160"/>
      <c r="M42" s="157"/>
      <c r="N42" s="158"/>
      <c r="O42" s="158"/>
      <c r="P42" s="159">
        <f t="shared" si="2"/>
        <v>0</v>
      </c>
      <c r="Q42" s="160"/>
      <c r="R42" s="157"/>
      <c r="S42" s="158"/>
      <c r="T42" s="158">
        <f>25000+5000</f>
        <v>30000</v>
      </c>
      <c r="U42" s="159">
        <f t="shared" si="3"/>
        <v>30000</v>
      </c>
      <c r="V42" s="160"/>
      <c r="W42" s="157"/>
      <c r="X42" s="158"/>
      <c r="Y42" s="158"/>
      <c r="Z42" s="159">
        <f t="shared" si="4"/>
        <v>0</v>
      </c>
      <c r="AA42" s="160"/>
      <c r="AB42" s="157"/>
      <c r="AC42" s="158"/>
      <c r="AD42" s="158"/>
      <c r="AE42" s="159">
        <f t="shared" si="5"/>
        <v>0</v>
      </c>
      <c r="AF42" s="161">
        <f t="shared" si="6"/>
        <v>0</v>
      </c>
      <c r="AG42" s="162">
        <f t="shared" si="7"/>
        <v>0</v>
      </c>
      <c r="AH42" s="159">
        <f t="shared" si="8"/>
        <v>0</v>
      </c>
      <c r="AI42" s="159">
        <f t="shared" si="9"/>
        <v>30000</v>
      </c>
      <c r="AJ42" s="163">
        <f t="shared" si="10"/>
        <v>30000</v>
      </c>
    </row>
    <row r="43" spans="1:36" ht="15.75" thickBot="1" x14ac:dyDescent="0.3">
      <c r="A43" s="166" t="s">
        <v>47</v>
      </c>
      <c r="B43" s="167">
        <f>SUM(B11:B42)</f>
        <v>14588.598499999996</v>
      </c>
      <c r="C43" s="168"/>
      <c r="D43" s="169">
        <f>SUM(D11:D42)</f>
        <v>0</v>
      </c>
      <c r="E43" s="169">
        <f>SUM(E11:E42)</f>
        <v>283040.49129309563</v>
      </c>
      <c r="F43" s="170">
        <f>SUM(F11:F42)</f>
        <v>1636386.5711288829</v>
      </c>
      <c r="G43" s="167">
        <f>SUM(G11:G42)</f>
        <v>0</v>
      </c>
      <c r="H43" s="168"/>
      <c r="I43" s="169">
        <f>SUM(I11:I42)</f>
        <v>0</v>
      </c>
      <c r="J43" s="169">
        <f>SUM(J11:J42)</f>
        <v>0</v>
      </c>
      <c r="K43" s="170">
        <f>SUM(K11:K42)</f>
        <v>0</v>
      </c>
      <c r="L43" s="167">
        <f>SUM(L11:L42)</f>
        <v>0</v>
      </c>
      <c r="M43" s="168"/>
      <c r="N43" s="169">
        <f>SUM(N11:N42)</f>
        <v>0</v>
      </c>
      <c r="O43" s="169">
        <f>SUM(O11:O42)</f>
        <v>0</v>
      </c>
      <c r="P43" s="170">
        <f>SUM(P11:P42)</f>
        <v>0</v>
      </c>
      <c r="Q43" s="167">
        <f>SUM(Q11:Q42)</f>
        <v>8027.6942000000008</v>
      </c>
      <c r="R43" s="168"/>
      <c r="S43" s="169">
        <f>SUM(S11:S42)</f>
        <v>0</v>
      </c>
      <c r="T43" s="169">
        <f>SUM(T11:T42)</f>
        <v>69732</v>
      </c>
      <c r="U43" s="170">
        <f>SUM(U11:U42)</f>
        <v>1000000.097047437</v>
      </c>
      <c r="V43" s="167">
        <f>SUM(V11:V42)</f>
        <v>6224.8</v>
      </c>
      <c r="W43" s="168"/>
      <c r="X43" s="169">
        <f>SUM(X11:X42)</f>
        <v>0</v>
      </c>
      <c r="Y43" s="169">
        <f>SUM(Y11:Y42)</f>
        <v>0</v>
      </c>
      <c r="Z43" s="170">
        <f>SUM(Z11:Z42)</f>
        <v>698795.81535766053</v>
      </c>
      <c r="AA43" s="167">
        <f>SUM(AA11:AA42)</f>
        <v>4587</v>
      </c>
      <c r="AB43" s="168"/>
      <c r="AC43" s="169">
        <f t="shared" ref="AC43:AJ43" si="11">SUM(AC11:AC42)</f>
        <v>0</v>
      </c>
      <c r="AD43" s="169">
        <f t="shared" si="11"/>
        <v>0</v>
      </c>
      <c r="AE43" s="170">
        <f t="shared" si="11"/>
        <v>447225.3433141539</v>
      </c>
      <c r="AF43" s="171">
        <f t="shared" si="11"/>
        <v>33428.092700000008</v>
      </c>
      <c r="AG43" s="172">
        <f t="shared" si="11"/>
        <v>3429635.3355550384</v>
      </c>
      <c r="AH43" s="173">
        <f t="shared" si="11"/>
        <v>0</v>
      </c>
      <c r="AI43" s="173">
        <f t="shared" si="11"/>
        <v>352772.49129309563</v>
      </c>
      <c r="AJ43" s="174">
        <f t="shared" si="11"/>
        <v>3782407.8268481344</v>
      </c>
    </row>
    <row r="44" spans="1:36" ht="15.75" thickBot="1" x14ac:dyDescent="0.3">
      <c r="A44" s="146" t="s">
        <v>48</v>
      </c>
      <c r="B44" s="156"/>
      <c r="C44" s="157"/>
      <c r="D44" s="158"/>
      <c r="E44" s="158"/>
      <c r="F44" s="159"/>
      <c r="G44" s="160"/>
      <c r="H44" s="157"/>
      <c r="I44" s="158"/>
      <c r="J44" s="158"/>
      <c r="K44" s="159"/>
      <c r="L44" s="160"/>
      <c r="M44" s="157"/>
      <c r="N44" s="158"/>
      <c r="O44" s="158"/>
      <c r="P44" s="159"/>
      <c r="Q44" s="160"/>
      <c r="R44" s="157"/>
      <c r="S44" s="158"/>
      <c r="T44" s="158"/>
      <c r="U44" s="159"/>
      <c r="V44" s="160"/>
      <c r="W44" s="157"/>
      <c r="X44" s="158"/>
      <c r="Y44" s="158"/>
      <c r="Z44" s="159"/>
      <c r="AA44" s="160"/>
      <c r="AB44" s="157"/>
      <c r="AC44" s="158"/>
      <c r="AD44" s="158"/>
      <c r="AE44" s="159"/>
      <c r="AF44" s="161"/>
      <c r="AG44" s="162"/>
      <c r="AH44" s="159"/>
      <c r="AI44" s="159"/>
      <c r="AJ44" s="163"/>
    </row>
    <row r="45" spans="1:36" x14ac:dyDescent="0.25">
      <c r="A45" s="155" t="s">
        <v>49</v>
      </c>
      <c r="B45" s="156"/>
      <c r="C45" s="157"/>
      <c r="D45" s="158"/>
      <c r="E45" s="158"/>
      <c r="F45" s="159">
        <f>SUM(B45*C45)+D45+E45</f>
        <v>0</v>
      </c>
      <c r="G45" s="160">
        <v>1776</v>
      </c>
      <c r="H45" s="157">
        <v>113.26766180110525</v>
      </c>
      <c r="I45" s="158"/>
      <c r="J45" s="158"/>
      <c r="K45" s="159">
        <f>SUM(G45*H45)+I45+J45</f>
        <v>201163.36735876292</v>
      </c>
      <c r="L45" s="160"/>
      <c r="M45" s="157"/>
      <c r="N45" s="158"/>
      <c r="O45" s="158"/>
      <c r="P45" s="159">
        <f>SUM(L45*M45)+N45+O45</f>
        <v>0</v>
      </c>
      <c r="Q45" s="160"/>
      <c r="R45" s="157"/>
      <c r="S45" s="158"/>
      <c r="T45" s="158"/>
      <c r="U45" s="159">
        <f>SUM(Q45*R45)+S45+T45</f>
        <v>0</v>
      </c>
      <c r="V45" s="160"/>
      <c r="W45" s="157"/>
      <c r="X45" s="158"/>
      <c r="Y45" s="158"/>
      <c r="Z45" s="159">
        <f>SUM(V45*W45)+X45+Y45</f>
        <v>0</v>
      </c>
      <c r="AA45" s="160"/>
      <c r="AB45" s="157"/>
      <c r="AC45" s="158"/>
      <c r="AD45" s="158"/>
      <c r="AE45" s="159">
        <f>SUM(AA45*AB45)+AC45+AD45</f>
        <v>0</v>
      </c>
      <c r="AF45" s="161">
        <f>SUM(AA45+V45+Q45+L45+G45+B45)</f>
        <v>1776</v>
      </c>
      <c r="AG45" s="162">
        <f>SUM((B45*C45)+(G45*H45)+(L45*M45)+(Q45*R45)+(V45*W45)+(AA45*AB45))</f>
        <v>201163.36735876292</v>
      </c>
      <c r="AH45" s="159">
        <f>+D45+I45+N45+S45+X45+AC45</f>
        <v>0</v>
      </c>
      <c r="AI45" s="159">
        <f>SUM(E45+J45+O45+T45+Y45+AD45)</f>
        <v>0</v>
      </c>
      <c r="AJ45" s="163">
        <f>SUM(AG45:AI45)</f>
        <v>201163.36735876292</v>
      </c>
    </row>
    <row r="46" spans="1:36" x14ac:dyDescent="0.25">
      <c r="A46" s="164" t="s">
        <v>50</v>
      </c>
      <c r="B46" s="156">
        <v>2761.69</v>
      </c>
      <c r="C46" s="157">
        <v>63.024397684701128</v>
      </c>
      <c r="D46" s="158"/>
      <c r="E46" s="158"/>
      <c r="F46" s="159">
        <f t="shared" ref="F46:F79" si="12">SUM(B46*C46)+D46+E46</f>
        <v>174053.84884186226</v>
      </c>
      <c r="G46" s="160">
        <v>1807.58</v>
      </c>
      <c r="H46" s="157">
        <v>63.024397684701128</v>
      </c>
      <c r="I46" s="158"/>
      <c r="J46" s="158"/>
      <c r="K46" s="159">
        <f t="shared" ref="K46:K79" si="13">SUM(G46*H46)+I46+J46</f>
        <v>113921.64076691207</v>
      </c>
      <c r="L46" s="160">
        <v>1091.71</v>
      </c>
      <c r="M46" s="157">
        <v>63.024397684701128</v>
      </c>
      <c r="N46" s="158"/>
      <c r="O46" s="158"/>
      <c r="P46" s="159">
        <f t="shared" ref="P46:P79" si="14">SUM(L46*M46)+N46+O46</f>
        <v>68804.365196365077</v>
      </c>
      <c r="Q46" s="160"/>
      <c r="R46" s="157"/>
      <c r="S46" s="158"/>
      <c r="T46" s="158"/>
      <c r="U46" s="159">
        <f t="shared" ref="U46:U79" si="15">SUM(Q46*R46)+S46+T46</f>
        <v>0</v>
      </c>
      <c r="V46" s="160">
        <v>1500</v>
      </c>
      <c r="W46" s="157">
        <v>63.024397684701128</v>
      </c>
      <c r="X46" s="158"/>
      <c r="Y46" s="158"/>
      <c r="Z46" s="159">
        <f t="shared" ref="Z46:Z79" si="16">SUM(V46*W46)+X46+Y46</f>
        <v>94536.59652705169</v>
      </c>
      <c r="AA46" s="160">
        <v>20652.669999999998</v>
      </c>
      <c r="AB46" s="157">
        <v>63.024397684701128</v>
      </c>
      <c r="AC46" s="158"/>
      <c r="AD46" s="158"/>
      <c r="AE46" s="159">
        <f t="shared" ref="AE46:AE79" si="17">SUM(AA46*AB46)+AC46+AD46</f>
        <v>1301622.0873308964</v>
      </c>
      <c r="AF46" s="161">
        <f t="shared" ref="AF46:AF79" si="18">SUM(AA46+V46+Q46+L46+G46+B46)</f>
        <v>27813.649999999998</v>
      </c>
      <c r="AG46" s="162">
        <f t="shared" ref="AG46:AG79" si="19">SUM((B46*C46)+(G46*H46)+(L46*M46)+(Q46*R46)+(V46*W46)+(AA46*AB46))</f>
        <v>1752938.5386630874</v>
      </c>
      <c r="AH46" s="159">
        <f t="shared" ref="AH46:AH79" si="20">+D46+I46+N46+S46+X46+AC46</f>
        <v>0</v>
      </c>
      <c r="AI46" s="159">
        <f t="shared" ref="AI46:AI79" si="21">SUM(E46+J46+O46+T46+Y46+AD46)</f>
        <v>0</v>
      </c>
      <c r="AJ46" s="163">
        <f t="shared" ref="AJ46:AJ79" si="22">SUM(AG46:AI46)</f>
        <v>1752938.5386630874</v>
      </c>
    </row>
    <row r="47" spans="1:36" x14ac:dyDescent="0.25">
      <c r="A47" s="164" t="s">
        <v>51</v>
      </c>
      <c r="B47" s="156"/>
      <c r="C47" s="157"/>
      <c r="D47" s="158"/>
      <c r="E47" s="158"/>
      <c r="F47" s="159">
        <f t="shared" si="12"/>
        <v>0</v>
      </c>
      <c r="G47" s="160"/>
      <c r="H47" s="157"/>
      <c r="I47" s="158"/>
      <c r="J47" s="158"/>
      <c r="K47" s="159">
        <f t="shared" si="13"/>
        <v>0</v>
      </c>
      <c r="L47" s="160"/>
      <c r="M47" s="157"/>
      <c r="N47" s="158"/>
      <c r="O47" s="158"/>
      <c r="P47" s="159">
        <f t="shared" si="14"/>
        <v>0</v>
      </c>
      <c r="Q47" s="160"/>
      <c r="R47" s="157"/>
      <c r="S47" s="158"/>
      <c r="T47" s="158"/>
      <c r="U47" s="159">
        <f t="shared" si="15"/>
        <v>0</v>
      </c>
      <c r="V47" s="160">
        <v>2670</v>
      </c>
      <c r="W47" s="157">
        <v>52.945022040092667</v>
      </c>
      <c r="X47" s="158"/>
      <c r="Y47" s="158"/>
      <c r="Z47" s="159">
        <f t="shared" si="16"/>
        <v>141363.20884704741</v>
      </c>
      <c r="AA47" s="160"/>
      <c r="AB47" s="157"/>
      <c r="AC47" s="158"/>
      <c r="AD47" s="158"/>
      <c r="AE47" s="159">
        <f t="shared" si="17"/>
        <v>0</v>
      </c>
      <c r="AF47" s="161">
        <f t="shared" si="18"/>
        <v>2670</v>
      </c>
      <c r="AG47" s="162">
        <f t="shared" si="19"/>
        <v>141363.20884704741</v>
      </c>
      <c r="AH47" s="159">
        <f t="shared" si="20"/>
        <v>0</v>
      </c>
      <c r="AI47" s="159">
        <f t="shared" si="21"/>
        <v>0</v>
      </c>
      <c r="AJ47" s="163">
        <f t="shared" si="22"/>
        <v>141363.20884704741</v>
      </c>
    </row>
    <row r="48" spans="1:36" x14ac:dyDescent="0.25">
      <c r="A48" s="164" t="s">
        <v>52</v>
      </c>
      <c r="B48" s="156"/>
      <c r="C48" s="157"/>
      <c r="D48" s="158"/>
      <c r="E48" s="158"/>
      <c r="F48" s="159">
        <f t="shared" si="12"/>
        <v>0</v>
      </c>
      <c r="G48" s="160"/>
      <c r="H48" s="157"/>
      <c r="I48" s="158"/>
      <c r="J48" s="158"/>
      <c r="K48" s="159">
        <f t="shared" si="13"/>
        <v>0</v>
      </c>
      <c r="L48" s="160">
        <v>18330.3</v>
      </c>
      <c r="M48" s="157">
        <v>65.772091116783983</v>
      </c>
      <c r="N48" s="158"/>
      <c r="O48" s="158"/>
      <c r="P48" s="159">
        <f t="shared" si="14"/>
        <v>1205622.1617979854</v>
      </c>
      <c r="Q48" s="160"/>
      <c r="R48" s="157"/>
      <c r="S48" s="158"/>
      <c r="T48" s="158"/>
      <c r="U48" s="159">
        <f t="shared" si="15"/>
        <v>0</v>
      </c>
      <c r="V48" s="160"/>
      <c r="W48" s="157"/>
      <c r="X48" s="158"/>
      <c r="Y48" s="158"/>
      <c r="Z48" s="159">
        <f t="shared" si="16"/>
        <v>0</v>
      </c>
      <c r="AA48" s="160"/>
      <c r="AB48" s="157"/>
      <c r="AC48" s="158"/>
      <c r="AD48" s="158"/>
      <c r="AE48" s="159">
        <f t="shared" si="17"/>
        <v>0</v>
      </c>
      <c r="AF48" s="161">
        <f t="shared" si="18"/>
        <v>18330.3</v>
      </c>
      <c r="AG48" s="162">
        <f t="shared" si="19"/>
        <v>1205622.1617979854</v>
      </c>
      <c r="AH48" s="159">
        <f t="shared" si="20"/>
        <v>0</v>
      </c>
      <c r="AI48" s="159">
        <f t="shared" si="21"/>
        <v>0</v>
      </c>
      <c r="AJ48" s="163">
        <f t="shared" si="22"/>
        <v>1205622.1617979854</v>
      </c>
    </row>
    <row r="49" spans="1:36" x14ac:dyDescent="0.25">
      <c r="A49" s="164" t="s">
        <v>53</v>
      </c>
      <c r="B49" s="156"/>
      <c r="C49" s="157"/>
      <c r="D49" s="158"/>
      <c r="E49" s="158"/>
      <c r="F49" s="159">
        <f t="shared" si="12"/>
        <v>0</v>
      </c>
      <c r="G49" s="160"/>
      <c r="H49" s="157"/>
      <c r="I49" s="158"/>
      <c r="J49" s="158"/>
      <c r="K49" s="159">
        <f t="shared" si="13"/>
        <v>0</v>
      </c>
      <c r="L49" s="160">
        <v>923.52</v>
      </c>
      <c r="M49" s="157">
        <v>156.05788348264241</v>
      </c>
      <c r="N49" s="158"/>
      <c r="O49" s="158"/>
      <c r="P49" s="159">
        <f t="shared" si="14"/>
        <v>144122.57655388993</v>
      </c>
      <c r="Q49" s="160"/>
      <c r="R49" s="157"/>
      <c r="S49" s="158"/>
      <c r="T49" s="158"/>
      <c r="U49" s="159">
        <f t="shared" si="15"/>
        <v>0</v>
      </c>
      <c r="V49" s="160"/>
      <c r="W49" s="157"/>
      <c r="X49" s="158"/>
      <c r="Y49" s="158"/>
      <c r="Z49" s="159">
        <f t="shared" si="16"/>
        <v>0</v>
      </c>
      <c r="AA49" s="160"/>
      <c r="AB49" s="157"/>
      <c r="AC49" s="158"/>
      <c r="AD49" s="158"/>
      <c r="AE49" s="159">
        <f t="shared" si="17"/>
        <v>0</v>
      </c>
      <c r="AF49" s="161">
        <f t="shared" si="18"/>
        <v>923.52</v>
      </c>
      <c r="AG49" s="162">
        <f t="shared" si="19"/>
        <v>144122.57655388993</v>
      </c>
      <c r="AH49" s="159">
        <f t="shared" si="20"/>
        <v>0</v>
      </c>
      <c r="AI49" s="159">
        <f t="shared" si="21"/>
        <v>0</v>
      </c>
      <c r="AJ49" s="163">
        <f t="shared" si="22"/>
        <v>144122.57655388993</v>
      </c>
    </row>
    <row r="50" spans="1:36" x14ac:dyDescent="0.25">
      <c r="A50" s="164" t="s">
        <v>54</v>
      </c>
      <c r="B50" s="156"/>
      <c r="C50" s="157"/>
      <c r="D50" s="158"/>
      <c r="E50" s="158"/>
      <c r="F50" s="159">
        <f t="shared" si="12"/>
        <v>0</v>
      </c>
      <c r="G50" s="160"/>
      <c r="H50" s="157"/>
      <c r="I50" s="158"/>
      <c r="J50" s="158"/>
      <c r="K50" s="159">
        <f t="shared" si="13"/>
        <v>0</v>
      </c>
      <c r="L50" s="160">
        <v>1847</v>
      </c>
      <c r="M50" s="157">
        <v>41.497397796357745</v>
      </c>
      <c r="N50" s="158"/>
      <c r="O50" s="158"/>
      <c r="P50" s="159">
        <f t="shared" si="14"/>
        <v>76645.693729872757</v>
      </c>
      <c r="Q50" s="160"/>
      <c r="R50" s="157"/>
      <c r="S50" s="158"/>
      <c r="T50" s="158"/>
      <c r="U50" s="159">
        <f t="shared" si="15"/>
        <v>0</v>
      </c>
      <c r="V50" s="160"/>
      <c r="W50" s="157"/>
      <c r="X50" s="158"/>
      <c r="Y50" s="158"/>
      <c r="Z50" s="159">
        <f t="shared" si="16"/>
        <v>0</v>
      </c>
      <c r="AA50" s="160"/>
      <c r="AB50" s="157"/>
      <c r="AC50" s="158"/>
      <c r="AD50" s="158"/>
      <c r="AE50" s="159">
        <f t="shared" si="17"/>
        <v>0</v>
      </c>
      <c r="AF50" s="161">
        <f t="shared" si="18"/>
        <v>1847</v>
      </c>
      <c r="AG50" s="162">
        <f t="shared" si="19"/>
        <v>76645.693729872757</v>
      </c>
      <c r="AH50" s="159">
        <f t="shared" si="20"/>
        <v>0</v>
      </c>
      <c r="AI50" s="159">
        <f t="shared" si="21"/>
        <v>0</v>
      </c>
      <c r="AJ50" s="163">
        <f t="shared" si="22"/>
        <v>76645.693729872757</v>
      </c>
    </row>
    <row r="51" spans="1:36" x14ac:dyDescent="0.25">
      <c r="A51" s="164" t="s">
        <v>55</v>
      </c>
      <c r="B51" s="156"/>
      <c r="C51" s="157"/>
      <c r="D51" s="158"/>
      <c r="E51" s="158"/>
      <c r="F51" s="159">
        <f t="shared" si="12"/>
        <v>0</v>
      </c>
      <c r="G51" s="160">
        <v>1200</v>
      </c>
      <c r="H51" s="157">
        <v>121</v>
      </c>
      <c r="I51" s="158"/>
      <c r="J51" s="158"/>
      <c r="K51" s="159">
        <f t="shared" si="13"/>
        <v>145200</v>
      </c>
      <c r="L51" s="160">
        <v>3462</v>
      </c>
      <c r="M51" s="157">
        <v>121.34463220763278</v>
      </c>
      <c r="N51" s="158"/>
      <c r="O51" s="158"/>
      <c r="P51" s="159">
        <f t="shared" si="14"/>
        <v>420095.11670282471</v>
      </c>
      <c r="Q51" s="160"/>
      <c r="R51" s="157"/>
      <c r="S51" s="158"/>
      <c r="T51" s="158"/>
      <c r="U51" s="159">
        <f t="shared" si="15"/>
        <v>0</v>
      </c>
      <c r="V51" s="160"/>
      <c r="W51" s="157"/>
      <c r="X51" s="158"/>
      <c r="Y51" s="158"/>
      <c r="Z51" s="159">
        <f t="shared" si="16"/>
        <v>0</v>
      </c>
      <c r="AA51" s="160"/>
      <c r="AB51" s="157"/>
      <c r="AC51" s="158"/>
      <c r="AD51" s="158"/>
      <c r="AE51" s="159">
        <f t="shared" si="17"/>
        <v>0</v>
      </c>
      <c r="AF51" s="161">
        <f t="shared" si="18"/>
        <v>4662</v>
      </c>
      <c r="AG51" s="162">
        <f t="shared" si="19"/>
        <v>565295.11670282471</v>
      </c>
      <c r="AH51" s="159">
        <f t="shared" si="20"/>
        <v>0</v>
      </c>
      <c r="AI51" s="159">
        <f t="shared" si="21"/>
        <v>0</v>
      </c>
      <c r="AJ51" s="163">
        <f t="shared" si="22"/>
        <v>565295.11670282471</v>
      </c>
    </row>
    <row r="52" spans="1:36" x14ac:dyDescent="0.25">
      <c r="A52" s="164" t="s">
        <v>56</v>
      </c>
      <c r="B52" s="156"/>
      <c r="C52" s="157"/>
      <c r="D52" s="158"/>
      <c r="E52" s="158"/>
      <c r="F52" s="159">
        <f t="shared" si="12"/>
        <v>0</v>
      </c>
      <c r="G52" s="160">
        <v>950</v>
      </c>
      <c r="H52" s="157">
        <v>138</v>
      </c>
      <c r="I52" s="158"/>
      <c r="J52" s="158"/>
      <c r="K52" s="159">
        <f t="shared" si="13"/>
        <v>131100</v>
      </c>
      <c r="L52" s="160">
        <v>923.52</v>
      </c>
      <c r="M52" s="157">
        <v>137.5997378572884</v>
      </c>
      <c r="N52" s="158"/>
      <c r="O52" s="158"/>
      <c r="P52" s="159">
        <f t="shared" si="14"/>
        <v>127076.10990596298</v>
      </c>
      <c r="Q52" s="160"/>
      <c r="R52" s="157"/>
      <c r="S52" s="158"/>
      <c r="T52" s="158"/>
      <c r="U52" s="159">
        <f t="shared" si="15"/>
        <v>0</v>
      </c>
      <c r="V52" s="160"/>
      <c r="W52" s="157"/>
      <c r="X52" s="158"/>
      <c r="Y52" s="158"/>
      <c r="Z52" s="159">
        <f t="shared" si="16"/>
        <v>0</v>
      </c>
      <c r="AA52" s="160"/>
      <c r="AB52" s="157"/>
      <c r="AC52" s="158"/>
      <c r="AD52" s="158"/>
      <c r="AE52" s="159">
        <f t="shared" si="17"/>
        <v>0</v>
      </c>
      <c r="AF52" s="161">
        <f t="shared" si="18"/>
        <v>1873.52</v>
      </c>
      <c r="AG52" s="162">
        <f t="shared" si="19"/>
        <v>258176.10990596298</v>
      </c>
      <c r="AH52" s="159">
        <f t="shared" si="20"/>
        <v>0</v>
      </c>
      <c r="AI52" s="159">
        <f t="shared" si="21"/>
        <v>0</v>
      </c>
      <c r="AJ52" s="163">
        <f t="shared" si="22"/>
        <v>258176.10990596298</v>
      </c>
    </row>
    <row r="53" spans="1:36" x14ac:dyDescent="0.25">
      <c r="A53" s="164" t="s">
        <v>57</v>
      </c>
      <c r="B53" s="156"/>
      <c r="C53" s="157"/>
      <c r="D53" s="158"/>
      <c r="E53" s="158"/>
      <c r="F53" s="159">
        <f t="shared" si="12"/>
        <v>0</v>
      </c>
      <c r="G53" s="160"/>
      <c r="H53" s="157"/>
      <c r="I53" s="158"/>
      <c r="J53" s="158"/>
      <c r="K53" s="159">
        <f t="shared" si="13"/>
        <v>0</v>
      </c>
      <c r="L53" s="160">
        <v>8110</v>
      </c>
      <c r="M53" s="157">
        <v>67.981848116683437</v>
      </c>
      <c r="N53" s="158"/>
      <c r="O53" s="158"/>
      <c r="P53" s="159">
        <f t="shared" si="14"/>
        <v>551332.78822630271</v>
      </c>
      <c r="Q53" s="160"/>
      <c r="R53" s="157"/>
      <c r="S53" s="158"/>
      <c r="T53" s="158"/>
      <c r="U53" s="159">
        <f t="shared" si="15"/>
        <v>0</v>
      </c>
      <c r="V53" s="160"/>
      <c r="W53" s="157"/>
      <c r="X53" s="158"/>
      <c r="Y53" s="158"/>
      <c r="Z53" s="159">
        <f t="shared" si="16"/>
        <v>0</v>
      </c>
      <c r="AA53" s="160"/>
      <c r="AB53" s="157"/>
      <c r="AC53" s="158"/>
      <c r="AD53" s="158"/>
      <c r="AE53" s="159">
        <f t="shared" si="17"/>
        <v>0</v>
      </c>
      <c r="AF53" s="161">
        <f t="shared" si="18"/>
        <v>8110</v>
      </c>
      <c r="AG53" s="162">
        <f t="shared" si="19"/>
        <v>551332.78822630271</v>
      </c>
      <c r="AH53" s="159">
        <f t="shared" si="20"/>
        <v>0</v>
      </c>
      <c r="AI53" s="159">
        <f t="shared" si="21"/>
        <v>0</v>
      </c>
      <c r="AJ53" s="163">
        <f t="shared" si="22"/>
        <v>551332.78822630271</v>
      </c>
    </row>
    <row r="54" spans="1:36" x14ac:dyDescent="0.25">
      <c r="A54" s="164" t="s">
        <v>58</v>
      </c>
      <c r="B54" s="156"/>
      <c r="C54" s="157"/>
      <c r="D54" s="158"/>
      <c r="E54" s="158"/>
      <c r="F54" s="159">
        <f t="shared" si="12"/>
        <v>0</v>
      </c>
      <c r="G54" s="160"/>
      <c r="H54" s="157"/>
      <c r="I54" s="158"/>
      <c r="J54" s="158"/>
      <c r="K54" s="159">
        <f t="shared" si="13"/>
        <v>0</v>
      </c>
      <c r="L54" s="160">
        <v>7371.89</v>
      </c>
      <c r="M54" s="157">
        <v>76.918956907535204</v>
      </c>
      <c r="N54" s="158"/>
      <c r="O54" s="158"/>
      <c r="P54" s="159">
        <f t="shared" si="14"/>
        <v>567038.08923708973</v>
      </c>
      <c r="Q54" s="160"/>
      <c r="R54" s="157"/>
      <c r="S54" s="158"/>
      <c r="T54" s="158"/>
      <c r="U54" s="159">
        <f t="shared" si="15"/>
        <v>0</v>
      </c>
      <c r="V54" s="160"/>
      <c r="W54" s="157"/>
      <c r="X54" s="158"/>
      <c r="Y54" s="158"/>
      <c r="Z54" s="159">
        <f t="shared" si="16"/>
        <v>0</v>
      </c>
      <c r="AA54" s="160"/>
      <c r="AB54" s="157"/>
      <c r="AC54" s="158"/>
      <c r="AD54" s="158"/>
      <c r="AE54" s="159">
        <f t="shared" si="17"/>
        <v>0</v>
      </c>
      <c r="AF54" s="161">
        <f t="shared" si="18"/>
        <v>7371.89</v>
      </c>
      <c r="AG54" s="162">
        <f t="shared" si="19"/>
        <v>567038.08923708973</v>
      </c>
      <c r="AH54" s="159">
        <f t="shared" si="20"/>
        <v>0</v>
      </c>
      <c r="AI54" s="159">
        <f t="shared" si="21"/>
        <v>0</v>
      </c>
      <c r="AJ54" s="163">
        <f t="shared" si="22"/>
        <v>567038.08923708973</v>
      </c>
    </row>
    <row r="55" spans="1:36" x14ac:dyDescent="0.25">
      <c r="A55" s="164" t="s">
        <v>59</v>
      </c>
      <c r="B55" s="156">
        <v>665.88</v>
      </c>
      <c r="C55" s="157">
        <v>36.739994602279026</v>
      </c>
      <c r="D55" s="158"/>
      <c r="E55" s="158"/>
      <c r="F55" s="159">
        <f t="shared" si="12"/>
        <v>24464.427605765559</v>
      </c>
      <c r="G55" s="160">
        <v>2641.69</v>
      </c>
      <c r="H55" s="157">
        <v>36.739994602279026</v>
      </c>
      <c r="I55" s="158"/>
      <c r="J55" s="158"/>
      <c r="K55" s="159">
        <f t="shared" si="13"/>
        <v>97055.676340894483</v>
      </c>
      <c r="L55" s="160">
        <v>4531.38</v>
      </c>
      <c r="M55" s="157">
        <v>36.739994602279026</v>
      </c>
      <c r="N55" s="158"/>
      <c r="O55" s="158"/>
      <c r="P55" s="159">
        <f t="shared" si="14"/>
        <v>166482.87674087513</v>
      </c>
      <c r="Q55" s="160"/>
      <c r="R55" s="157"/>
      <c r="S55" s="158"/>
      <c r="T55" s="158"/>
      <c r="U55" s="159">
        <f t="shared" si="15"/>
        <v>0</v>
      </c>
      <c r="V55" s="160">
        <v>1776</v>
      </c>
      <c r="W55" s="157">
        <v>36.739994602279026</v>
      </c>
      <c r="X55" s="158"/>
      <c r="Y55" s="158"/>
      <c r="Z55" s="159">
        <f t="shared" si="16"/>
        <v>65250.23041364755</v>
      </c>
      <c r="AA55" s="160">
        <v>5000</v>
      </c>
      <c r="AB55" s="157">
        <v>36.739994602279026</v>
      </c>
      <c r="AC55" s="158"/>
      <c r="AD55" s="158"/>
      <c r="AE55" s="159">
        <f t="shared" si="17"/>
        <v>183699.97301139514</v>
      </c>
      <c r="AF55" s="161">
        <f t="shared" si="18"/>
        <v>14614.95</v>
      </c>
      <c r="AG55" s="162">
        <f t="shared" si="19"/>
        <v>536953.18411257782</v>
      </c>
      <c r="AH55" s="159">
        <f t="shared" si="20"/>
        <v>0</v>
      </c>
      <c r="AI55" s="159">
        <f t="shared" si="21"/>
        <v>0</v>
      </c>
      <c r="AJ55" s="163">
        <f t="shared" si="22"/>
        <v>536953.18411257782</v>
      </c>
    </row>
    <row r="56" spans="1:36" x14ac:dyDescent="0.25">
      <c r="A56" s="164" t="s">
        <v>60</v>
      </c>
      <c r="B56" s="156"/>
      <c r="C56" s="157"/>
      <c r="D56" s="158"/>
      <c r="E56" s="158"/>
      <c r="F56" s="159">
        <f t="shared" si="12"/>
        <v>0</v>
      </c>
      <c r="G56" s="160">
        <v>3138.8999999999996</v>
      </c>
      <c r="H56" s="157">
        <v>41.22995891084814</v>
      </c>
      <c r="I56" s="158"/>
      <c r="J56" s="158"/>
      <c r="K56" s="159">
        <f t="shared" si="13"/>
        <v>129416.71802526122</v>
      </c>
      <c r="L56" s="160"/>
      <c r="M56" s="157"/>
      <c r="N56" s="158"/>
      <c r="O56" s="158"/>
      <c r="P56" s="159">
        <f t="shared" si="14"/>
        <v>0</v>
      </c>
      <c r="Q56" s="160"/>
      <c r="R56" s="157"/>
      <c r="S56" s="158"/>
      <c r="T56" s="158"/>
      <c r="U56" s="159">
        <f t="shared" si="15"/>
        <v>0</v>
      </c>
      <c r="V56" s="160"/>
      <c r="W56" s="157"/>
      <c r="X56" s="158"/>
      <c r="Y56" s="158"/>
      <c r="Z56" s="159">
        <f t="shared" si="16"/>
        <v>0</v>
      </c>
      <c r="AA56" s="160"/>
      <c r="AB56" s="157"/>
      <c r="AC56" s="158"/>
      <c r="AD56" s="158"/>
      <c r="AE56" s="159">
        <f t="shared" si="17"/>
        <v>0</v>
      </c>
      <c r="AF56" s="161">
        <f t="shared" si="18"/>
        <v>3138.8999999999996</v>
      </c>
      <c r="AG56" s="162">
        <f t="shared" si="19"/>
        <v>129416.71802526122</v>
      </c>
      <c r="AH56" s="159">
        <f t="shared" si="20"/>
        <v>0</v>
      </c>
      <c r="AI56" s="159">
        <f t="shared" si="21"/>
        <v>0</v>
      </c>
      <c r="AJ56" s="163">
        <f t="shared" si="22"/>
        <v>129416.71802526122</v>
      </c>
    </row>
    <row r="57" spans="1:36" x14ac:dyDescent="0.25">
      <c r="A57" s="164" t="s">
        <v>61</v>
      </c>
      <c r="B57" s="156"/>
      <c r="C57" s="157"/>
      <c r="D57" s="158"/>
      <c r="E57" s="158"/>
      <c r="F57" s="159">
        <f t="shared" si="12"/>
        <v>0</v>
      </c>
      <c r="G57" s="160"/>
      <c r="H57" s="157"/>
      <c r="I57" s="158"/>
      <c r="J57" s="158"/>
      <c r="K57" s="159">
        <f t="shared" si="13"/>
        <v>0</v>
      </c>
      <c r="L57" s="160">
        <v>3531.17</v>
      </c>
      <c r="M57" s="157">
        <v>79.200723192129388</v>
      </c>
      <c r="N57" s="158"/>
      <c r="O57" s="158"/>
      <c r="P57" s="159">
        <f t="shared" si="14"/>
        <v>279671.21771435154</v>
      </c>
      <c r="Q57" s="160"/>
      <c r="R57" s="157"/>
      <c r="S57" s="158"/>
      <c r="T57" s="158"/>
      <c r="U57" s="159">
        <f t="shared" si="15"/>
        <v>0</v>
      </c>
      <c r="V57" s="160"/>
      <c r="W57" s="157"/>
      <c r="X57" s="158"/>
      <c r="Y57" s="158"/>
      <c r="Z57" s="159">
        <f t="shared" si="16"/>
        <v>0</v>
      </c>
      <c r="AA57" s="160"/>
      <c r="AB57" s="157"/>
      <c r="AC57" s="158"/>
      <c r="AD57" s="158"/>
      <c r="AE57" s="159">
        <f t="shared" si="17"/>
        <v>0</v>
      </c>
      <c r="AF57" s="161">
        <f t="shared" si="18"/>
        <v>3531.17</v>
      </c>
      <c r="AG57" s="162">
        <f t="shared" si="19"/>
        <v>279671.21771435154</v>
      </c>
      <c r="AH57" s="159">
        <f t="shared" si="20"/>
        <v>0</v>
      </c>
      <c r="AI57" s="159">
        <f t="shared" si="21"/>
        <v>0</v>
      </c>
      <c r="AJ57" s="163">
        <f t="shared" si="22"/>
        <v>279671.21771435154</v>
      </c>
    </row>
    <row r="58" spans="1:36" x14ac:dyDescent="0.25">
      <c r="A58" s="164" t="s">
        <v>62</v>
      </c>
      <c r="B58" s="156"/>
      <c r="C58" s="157"/>
      <c r="D58" s="158"/>
      <c r="E58" s="158"/>
      <c r="F58" s="159">
        <f t="shared" si="12"/>
        <v>0</v>
      </c>
      <c r="G58" s="160"/>
      <c r="H58" s="157"/>
      <c r="I58" s="158"/>
      <c r="J58" s="158"/>
      <c r="K58" s="159">
        <f t="shared" si="13"/>
        <v>0</v>
      </c>
      <c r="L58" s="160">
        <v>15887.06</v>
      </c>
      <c r="M58" s="157">
        <v>104.6914747635763</v>
      </c>
      <c r="N58" s="158"/>
      <c r="O58" s="158"/>
      <c r="P58" s="159">
        <f t="shared" si="14"/>
        <v>1663239.7410574222</v>
      </c>
      <c r="Q58" s="160"/>
      <c r="R58" s="157"/>
      <c r="S58" s="158"/>
      <c r="T58" s="158"/>
      <c r="U58" s="159">
        <f t="shared" si="15"/>
        <v>0</v>
      </c>
      <c r="V58" s="160"/>
      <c r="W58" s="157"/>
      <c r="X58" s="158"/>
      <c r="Y58" s="158"/>
      <c r="Z58" s="159">
        <f t="shared" si="16"/>
        <v>0</v>
      </c>
      <c r="AA58" s="160"/>
      <c r="AB58" s="157"/>
      <c r="AC58" s="158"/>
      <c r="AD58" s="158"/>
      <c r="AE58" s="159">
        <f t="shared" si="17"/>
        <v>0</v>
      </c>
      <c r="AF58" s="161">
        <f t="shared" si="18"/>
        <v>15887.06</v>
      </c>
      <c r="AG58" s="162">
        <f t="shared" si="19"/>
        <v>1663239.7410574222</v>
      </c>
      <c r="AH58" s="159">
        <f t="shared" si="20"/>
        <v>0</v>
      </c>
      <c r="AI58" s="159">
        <f t="shared" si="21"/>
        <v>0</v>
      </c>
      <c r="AJ58" s="163">
        <f t="shared" si="22"/>
        <v>1663239.7410574222</v>
      </c>
    </row>
    <row r="59" spans="1:36" x14ac:dyDescent="0.25">
      <c r="A59" s="164" t="s">
        <v>63</v>
      </c>
      <c r="B59" s="156"/>
      <c r="C59" s="157"/>
      <c r="D59" s="158"/>
      <c r="E59" s="158"/>
      <c r="F59" s="159">
        <f t="shared" si="12"/>
        <v>0</v>
      </c>
      <c r="G59" s="160"/>
      <c r="H59" s="157"/>
      <c r="I59" s="158"/>
      <c r="J59" s="158"/>
      <c r="K59" s="159">
        <f t="shared" si="13"/>
        <v>0</v>
      </c>
      <c r="L59" s="160">
        <v>2134.7199999999998</v>
      </c>
      <c r="M59" s="157">
        <v>128.13332519003464</v>
      </c>
      <c r="N59" s="158"/>
      <c r="O59" s="158"/>
      <c r="P59" s="159">
        <f t="shared" si="14"/>
        <v>273528.77194967074</v>
      </c>
      <c r="Q59" s="160"/>
      <c r="R59" s="157"/>
      <c r="S59" s="158"/>
      <c r="T59" s="158"/>
      <c r="U59" s="159">
        <f t="shared" si="15"/>
        <v>0</v>
      </c>
      <c r="V59" s="160"/>
      <c r="W59" s="157"/>
      <c r="X59" s="158"/>
      <c r="Y59" s="158"/>
      <c r="Z59" s="159">
        <f t="shared" si="16"/>
        <v>0</v>
      </c>
      <c r="AA59" s="160"/>
      <c r="AB59" s="157"/>
      <c r="AC59" s="158"/>
      <c r="AD59" s="158"/>
      <c r="AE59" s="159">
        <f t="shared" si="17"/>
        <v>0</v>
      </c>
      <c r="AF59" s="161">
        <f t="shared" si="18"/>
        <v>2134.7199999999998</v>
      </c>
      <c r="AG59" s="162">
        <f t="shared" si="19"/>
        <v>273528.77194967074</v>
      </c>
      <c r="AH59" s="159">
        <f t="shared" si="20"/>
        <v>0</v>
      </c>
      <c r="AI59" s="159">
        <f t="shared" si="21"/>
        <v>0</v>
      </c>
      <c r="AJ59" s="163">
        <f t="shared" si="22"/>
        <v>273528.77194967074</v>
      </c>
    </row>
    <row r="60" spans="1:36" x14ac:dyDescent="0.25">
      <c r="A60" s="164" t="s">
        <v>64</v>
      </c>
      <c r="B60" s="156"/>
      <c r="C60" s="157"/>
      <c r="D60" s="158"/>
      <c r="E60" s="158"/>
      <c r="F60" s="159">
        <f t="shared" si="12"/>
        <v>0</v>
      </c>
      <c r="G60" s="160"/>
      <c r="H60" s="157"/>
      <c r="I60" s="158"/>
      <c r="J60" s="158"/>
      <c r="K60" s="159">
        <f t="shared" si="13"/>
        <v>0</v>
      </c>
      <c r="L60" s="160">
        <v>4205.41</v>
      </c>
      <c r="M60" s="157">
        <v>121.104207170869</v>
      </c>
      <c r="N60" s="158"/>
      <c r="O60" s="158"/>
      <c r="P60" s="159">
        <f t="shared" si="14"/>
        <v>509292.84387844417</v>
      </c>
      <c r="Q60" s="160"/>
      <c r="R60" s="157"/>
      <c r="S60" s="158"/>
      <c r="T60" s="158"/>
      <c r="U60" s="159">
        <f t="shared" si="15"/>
        <v>0</v>
      </c>
      <c r="V60" s="160"/>
      <c r="W60" s="157"/>
      <c r="X60" s="158"/>
      <c r="Y60" s="158"/>
      <c r="Z60" s="159">
        <f t="shared" si="16"/>
        <v>0</v>
      </c>
      <c r="AA60" s="160"/>
      <c r="AB60" s="157"/>
      <c r="AC60" s="158"/>
      <c r="AD60" s="158"/>
      <c r="AE60" s="159">
        <f t="shared" si="17"/>
        <v>0</v>
      </c>
      <c r="AF60" s="161">
        <f t="shared" si="18"/>
        <v>4205.41</v>
      </c>
      <c r="AG60" s="162">
        <f t="shared" si="19"/>
        <v>509292.84387844417</v>
      </c>
      <c r="AH60" s="159">
        <f t="shared" si="20"/>
        <v>0</v>
      </c>
      <c r="AI60" s="159">
        <f t="shared" si="21"/>
        <v>0</v>
      </c>
      <c r="AJ60" s="163">
        <f t="shared" si="22"/>
        <v>509292.84387844417</v>
      </c>
    </row>
    <row r="61" spans="1:36" x14ac:dyDescent="0.25">
      <c r="A61" s="164" t="s">
        <v>65</v>
      </c>
      <c r="B61" s="156">
        <v>886</v>
      </c>
      <c r="C61" s="157">
        <v>44.89514543820836</v>
      </c>
      <c r="D61" s="158"/>
      <c r="E61" s="158"/>
      <c r="F61" s="159">
        <f t="shared" si="12"/>
        <v>39777.098858252604</v>
      </c>
      <c r="G61" s="160"/>
      <c r="H61" s="157"/>
      <c r="I61" s="158"/>
      <c r="J61" s="158"/>
      <c r="K61" s="159">
        <f t="shared" si="13"/>
        <v>0</v>
      </c>
      <c r="L61" s="160">
        <v>5808.170684788548</v>
      </c>
      <c r="M61" s="157">
        <v>44.89514543820836</v>
      </c>
      <c r="N61" s="158"/>
      <c r="O61" s="158"/>
      <c r="P61" s="159">
        <f t="shared" si="14"/>
        <v>260758.6676235201</v>
      </c>
      <c r="Q61" s="160"/>
      <c r="R61" s="157"/>
      <c r="S61" s="158"/>
      <c r="T61" s="158"/>
      <c r="U61" s="159">
        <f t="shared" si="15"/>
        <v>0</v>
      </c>
      <c r="V61" s="160"/>
      <c r="W61" s="157"/>
      <c r="X61" s="158"/>
      <c r="Y61" s="158"/>
      <c r="Z61" s="159">
        <f t="shared" si="16"/>
        <v>0</v>
      </c>
      <c r="AA61" s="160">
        <v>1500</v>
      </c>
      <c r="AB61" s="157">
        <v>44.89514543820836</v>
      </c>
      <c r="AC61" s="158"/>
      <c r="AD61" s="158"/>
      <c r="AE61" s="159">
        <f t="shared" si="17"/>
        <v>67342.718157312542</v>
      </c>
      <c r="AF61" s="161">
        <f t="shared" si="18"/>
        <v>8194.1706847885471</v>
      </c>
      <c r="AG61" s="162">
        <f t="shared" si="19"/>
        <v>367878.48463908525</v>
      </c>
      <c r="AH61" s="159">
        <f t="shared" si="20"/>
        <v>0</v>
      </c>
      <c r="AI61" s="159">
        <f t="shared" si="21"/>
        <v>0</v>
      </c>
      <c r="AJ61" s="163">
        <f t="shared" si="22"/>
        <v>367878.48463908525</v>
      </c>
    </row>
    <row r="62" spans="1:36" x14ac:dyDescent="0.25">
      <c r="A62" s="164" t="s">
        <v>66</v>
      </c>
      <c r="B62" s="156">
        <v>843</v>
      </c>
      <c r="C62" s="157">
        <v>70.761980681765934</v>
      </c>
      <c r="D62" s="158"/>
      <c r="E62" s="158"/>
      <c r="F62" s="159">
        <f t="shared" si="12"/>
        <v>59652.349714728683</v>
      </c>
      <c r="G62" s="160"/>
      <c r="H62" s="157"/>
      <c r="I62" s="158"/>
      <c r="J62" s="158"/>
      <c r="K62" s="159">
        <f t="shared" si="13"/>
        <v>0</v>
      </c>
      <c r="L62" s="160"/>
      <c r="M62" s="157"/>
      <c r="N62" s="158"/>
      <c r="O62" s="158"/>
      <c r="P62" s="159">
        <f t="shared" si="14"/>
        <v>0</v>
      </c>
      <c r="Q62" s="160"/>
      <c r="R62" s="157"/>
      <c r="S62" s="158"/>
      <c r="T62" s="158"/>
      <c r="U62" s="159">
        <f t="shared" si="15"/>
        <v>0</v>
      </c>
      <c r="V62" s="160"/>
      <c r="W62" s="157"/>
      <c r="X62" s="158"/>
      <c r="Y62" s="158"/>
      <c r="Z62" s="159">
        <f t="shared" si="16"/>
        <v>0</v>
      </c>
      <c r="AA62" s="160"/>
      <c r="AB62" s="157"/>
      <c r="AC62" s="158"/>
      <c r="AD62" s="158"/>
      <c r="AE62" s="159">
        <f t="shared" si="17"/>
        <v>0</v>
      </c>
      <c r="AF62" s="161">
        <f t="shared" si="18"/>
        <v>843</v>
      </c>
      <c r="AG62" s="162">
        <f t="shared" si="19"/>
        <v>59652.349714728683</v>
      </c>
      <c r="AH62" s="159">
        <f t="shared" si="20"/>
        <v>0</v>
      </c>
      <c r="AI62" s="159">
        <f t="shared" si="21"/>
        <v>0</v>
      </c>
      <c r="AJ62" s="163">
        <f t="shared" si="22"/>
        <v>59652.349714728683</v>
      </c>
    </row>
    <row r="63" spans="1:36" x14ac:dyDescent="0.25">
      <c r="A63" s="164" t="s">
        <v>67</v>
      </c>
      <c r="B63" s="156"/>
      <c r="C63" s="157"/>
      <c r="D63" s="158"/>
      <c r="E63" s="158"/>
      <c r="F63" s="159">
        <f t="shared" si="12"/>
        <v>0</v>
      </c>
      <c r="G63" s="160">
        <v>15630</v>
      </c>
      <c r="H63" s="157">
        <v>70.761980681765934</v>
      </c>
      <c r="I63" s="158"/>
      <c r="J63" s="158"/>
      <c r="K63" s="159">
        <f t="shared" si="13"/>
        <v>1106009.7580560015</v>
      </c>
      <c r="L63" s="160">
        <v>843</v>
      </c>
      <c r="M63" s="157">
        <v>70.761980681765934</v>
      </c>
      <c r="N63" s="158"/>
      <c r="O63" s="158"/>
      <c r="P63" s="159">
        <f t="shared" si="14"/>
        <v>59652.349714728683</v>
      </c>
      <c r="Q63" s="160"/>
      <c r="R63" s="157"/>
      <c r="S63" s="158"/>
      <c r="T63" s="158"/>
      <c r="U63" s="159">
        <f t="shared" si="15"/>
        <v>0</v>
      </c>
      <c r="V63" s="160"/>
      <c r="W63" s="157"/>
      <c r="X63" s="158"/>
      <c r="Y63" s="158"/>
      <c r="Z63" s="159">
        <f t="shared" si="16"/>
        <v>0</v>
      </c>
      <c r="AA63" s="160"/>
      <c r="AB63" s="157"/>
      <c r="AC63" s="158"/>
      <c r="AD63" s="158"/>
      <c r="AE63" s="159">
        <f t="shared" si="17"/>
        <v>0</v>
      </c>
      <c r="AF63" s="161">
        <f t="shared" si="18"/>
        <v>16473</v>
      </c>
      <c r="AG63" s="162">
        <f t="shared" si="19"/>
        <v>1165662.1077707303</v>
      </c>
      <c r="AH63" s="159">
        <f t="shared" si="20"/>
        <v>0</v>
      </c>
      <c r="AI63" s="159">
        <f t="shared" si="21"/>
        <v>0</v>
      </c>
      <c r="AJ63" s="163">
        <f t="shared" si="22"/>
        <v>1165662.1077707303</v>
      </c>
    </row>
    <row r="64" spans="1:36" x14ac:dyDescent="0.25">
      <c r="A64" s="164" t="s">
        <v>68</v>
      </c>
      <c r="B64" s="156"/>
      <c r="C64" s="157"/>
      <c r="D64" s="158"/>
      <c r="E64" s="158"/>
      <c r="F64" s="159">
        <f t="shared" si="12"/>
        <v>0</v>
      </c>
      <c r="G64" s="160"/>
      <c r="H64" s="157"/>
      <c r="I64" s="158"/>
      <c r="J64" s="158"/>
      <c r="K64" s="159">
        <f t="shared" si="13"/>
        <v>0</v>
      </c>
      <c r="L64" s="160">
        <v>4244.3999999999996</v>
      </c>
      <c r="M64" s="157">
        <v>79.510228998698338</v>
      </c>
      <c r="N64" s="158"/>
      <c r="O64" s="158"/>
      <c r="P64" s="159">
        <f t="shared" si="14"/>
        <v>337473.21596207522</v>
      </c>
      <c r="Q64" s="160"/>
      <c r="R64" s="157"/>
      <c r="S64" s="158"/>
      <c r="T64" s="158"/>
      <c r="U64" s="159">
        <f t="shared" si="15"/>
        <v>0</v>
      </c>
      <c r="V64" s="160"/>
      <c r="W64" s="157"/>
      <c r="X64" s="158"/>
      <c r="Y64" s="158"/>
      <c r="Z64" s="159">
        <f t="shared" si="16"/>
        <v>0</v>
      </c>
      <c r="AA64" s="160"/>
      <c r="AB64" s="157"/>
      <c r="AC64" s="158"/>
      <c r="AD64" s="158"/>
      <c r="AE64" s="159">
        <f t="shared" si="17"/>
        <v>0</v>
      </c>
      <c r="AF64" s="161">
        <f t="shared" si="18"/>
        <v>4244.3999999999996</v>
      </c>
      <c r="AG64" s="162">
        <f t="shared" si="19"/>
        <v>337473.21596207522</v>
      </c>
      <c r="AH64" s="159">
        <f t="shared" si="20"/>
        <v>0</v>
      </c>
      <c r="AI64" s="159">
        <f t="shared" si="21"/>
        <v>0</v>
      </c>
      <c r="AJ64" s="163">
        <f t="shared" si="22"/>
        <v>337473.21596207522</v>
      </c>
    </row>
    <row r="65" spans="1:36" x14ac:dyDescent="0.25">
      <c r="A65" s="164" t="s">
        <v>69</v>
      </c>
      <c r="B65" s="156"/>
      <c r="C65" s="157"/>
      <c r="D65" s="158"/>
      <c r="E65" s="158"/>
      <c r="F65" s="159">
        <f t="shared" si="12"/>
        <v>0</v>
      </c>
      <c r="G65" s="160"/>
      <c r="H65" s="157"/>
      <c r="I65" s="158"/>
      <c r="J65" s="158"/>
      <c r="K65" s="159">
        <f t="shared" si="13"/>
        <v>0</v>
      </c>
      <c r="L65" s="160">
        <v>1177.5</v>
      </c>
      <c r="M65" s="157">
        <v>96.482224841484097</v>
      </c>
      <c r="N65" s="158"/>
      <c r="O65" s="158"/>
      <c r="P65" s="159">
        <f t="shared" si="14"/>
        <v>113607.81975084753</v>
      </c>
      <c r="Q65" s="160"/>
      <c r="R65" s="157"/>
      <c r="S65" s="158"/>
      <c r="T65" s="158"/>
      <c r="U65" s="159">
        <f t="shared" si="15"/>
        <v>0</v>
      </c>
      <c r="V65" s="160"/>
      <c r="W65" s="157"/>
      <c r="X65" s="158"/>
      <c r="Y65" s="158"/>
      <c r="Z65" s="159">
        <f t="shared" si="16"/>
        <v>0</v>
      </c>
      <c r="AA65" s="160"/>
      <c r="AB65" s="157"/>
      <c r="AC65" s="158"/>
      <c r="AD65" s="158"/>
      <c r="AE65" s="159">
        <f t="shared" si="17"/>
        <v>0</v>
      </c>
      <c r="AF65" s="161">
        <f t="shared" si="18"/>
        <v>1177.5</v>
      </c>
      <c r="AG65" s="162">
        <f t="shared" si="19"/>
        <v>113607.81975084753</v>
      </c>
      <c r="AH65" s="159">
        <f t="shared" si="20"/>
        <v>0</v>
      </c>
      <c r="AI65" s="159">
        <f t="shared" si="21"/>
        <v>0</v>
      </c>
      <c r="AJ65" s="163">
        <f t="shared" si="22"/>
        <v>113607.81975084753</v>
      </c>
    </row>
    <row r="66" spans="1:36" x14ac:dyDescent="0.25">
      <c r="A66" s="164" t="s">
        <v>70</v>
      </c>
      <c r="B66" s="156"/>
      <c r="C66" s="157"/>
      <c r="D66" s="158">
        <v>291000</v>
      </c>
      <c r="E66" s="158"/>
      <c r="F66" s="159">
        <f t="shared" si="12"/>
        <v>291000</v>
      </c>
      <c r="G66" s="160"/>
      <c r="H66" s="157"/>
      <c r="I66" s="158"/>
      <c r="J66" s="158"/>
      <c r="K66" s="159">
        <f t="shared" si="13"/>
        <v>0</v>
      </c>
      <c r="L66" s="160"/>
      <c r="M66" s="157"/>
      <c r="N66" s="158"/>
      <c r="O66" s="158"/>
      <c r="P66" s="159">
        <f t="shared" si="14"/>
        <v>0</v>
      </c>
      <c r="Q66" s="160"/>
      <c r="R66" s="157"/>
      <c r="S66" s="158"/>
      <c r="T66" s="158"/>
      <c r="U66" s="159">
        <f t="shared" si="15"/>
        <v>0</v>
      </c>
      <c r="V66" s="160"/>
      <c r="W66" s="157"/>
      <c r="X66" s="158"/>
      <c r="Y66" s="158"/>
      <c r="Z66" s="159">
        <f t="shared" si="16"/>
        <v>0</v>
      </c>
      <c r="AA66" s="160"/>
      <c r="AB66" s="157"/>
      <c r="AC66" s="158"/>
      <c r="AD66" s="158"/>
      <c r="AE66" s="159">
        <f t="shared" si="17"/>
        <v>0</v>
      </c>
      <c r="AF66" s="161">
        <f t="shared" si="18"/>
        <v>0</v>
      </c>
      <c r="AG66" s="162">
        <f t="shared" si="19"/>
        <v>0</v>
      </c>
      <c r="AH66" s="159">
        <f t="shared" si="20"/>
        <v>291000</v>
      </c>
      <c r="AI66" s="159">
        <f t="shared" si="21"/>
        <v>0</v>
      </c>
      <c r="AJ66" s="163">
        <f t="shared" si="22"/>
        <v>291000</v>
      </c>
    </row>
    <row r="67" spans="1:36" x14ac:dyDescent="0.25">
      <c r="A67" s="164" t="s">
        <v>71</v>
      </c>
      <c r="B67" s="156"/>
      <c r="C67" s="157"/>
      <c r="D67" s="158">
        <v>321000</v>
      </c>
      <c r="E67" s="158"/>
      <c r="F67" s="159">
        <f t="shared" si="12"/>
        <v>321000</v>
      </c>
      <c r="G67" s="160"/>
      <c r="H67" s="157"/>
      <c r="I67" s="158"/>
      <c r="J67" s="158"/>
      <c r="K67" s="159">
        <f t="shared" si="13"/>
        <v>0</v>
      </c>
      <c r="L67" s="160"/>
      <c r="M67" s="157"/>
      <c r="N67" s="158"/>
      <c r="O67" s="158"/>
      <c r="P67" s="159">
        <f t="shared" si="14"/>
        <v>0</v>
      </c>
      <c r="Q67" s="160"/>
      <c r="R67" s="157"/>
      <c r="S67" s="158"/>
      <c r="T67" s="158"/>
      <c r="U67" s="159">
        <f t="shared" si="15"/>
        <v>0</v>
      </c>
      <c r="V67" s="160"/>
      <c r="W67" s="157"/>
      <c r="X67" s="158"/>
      <c r="Y67" s="158"/>
      <c r="Z67" s="159">
        <f t="shared" si="16"/>
        <v>0</v>
      </c>
      <c r="AA67" s="160"/>
      <c r="AB67" s="157"/>
      <c r="AC67" s="158"/>
      <c r="AD67" s="158"/>
      <c r="AE67" s="159">
        <f t="shared" si="17"/>
        <v>0</v>
      </c>
      <c r="AF67" s="161">
        <f t="shared" si="18"/>
        <v>0</v>
      </c>
      <c r="AG67" s="162">
        <f t="shared" si="19"/>
        <v>0</v>
      </c>
      <c r="AH67" s="159">
        <f t="shared" si="20"/>
        <v>321000</v>
      </c>
      <c r="AI67" s="159">
        <f t="shared" si="21"/>
        <v>0</v>
      </c>
      <c r="AJ67" s="163">
        <f t="shared" si="22"/>
        <v>321000</v>
      </c>
    </row>
    <row r="68" spans="1:36" x14ac:dyDescent="0.25">
      <c r="A68" s="164" t="s">
        <v>72</v>
      </c>
      <c r="B68" s="156"/>
      <c r="C68" s="157"/>
      <c r="D68" s="158"/>
      <c r="E68" s="158"/>
      <c r="F68" s="159">
        <f t="shared" si="12"/>
        <v>0</v>
      </c>
      <c r="G68" s="160"/>
      <c r="H68" s="157"/>
      <c r="I68" s="158"/>
      <c r="J68" s="158"/>
      <c r="K68" s="159">
        <f t="shared" si="13"/>
        <v>0</v>
      </c>
      <c r="L68" s="160"/>
      <c r="M68" s="157"/>
      <c r="N68" s="158"/>
      <c r="O68" s="158">
        <v>2223000</v>
      </c>
      <c r="P68" s="159">
        <f t="shared" si="14"/>
        <v>2223000</v>
      </c>
      <c r="Q68" s="160"/>
      <c r="R68" s="157"/>
      <c r="S68" s="158"/>
      <c r="T68" s="158"/>
      <c r="U68" s="159">
        <f t="shared" si="15"/>
        <v>0</v>
      </c>
      <c r="V68" s="160"/>
      <c r="W68" s="157"/>
      <c r="X68" s="158"/>
      <c r="Y68" s="158"/>
      <c r="Z68" s="159">
        <f t="shared" si="16"/>
        <v>0</v>
      </c>
      <c r="AA68" s="160"/>
      <c r="AB68" s="157"/>
      <c r="AC68" s="158"/>
      <c r="AD68" s="158"/>
      <c r="AE68" s="159">
        <f t="shared" si="17"/>
        <v>0</v>
      </c>
      <c r="AF68" s="161">
        <f t="shared" si="18"/>
        <v>0</v>
      </c>
      <c r="AG68" s="162">
        <f t="shared" si="19"/>
        <v>0</v>
      </c>
      <c r="AH68" s="159">
        <f t="shared" si="20"/>
        <v>0</v>
      </c>
      <c r="AI68" s="159">
        <f t="shared" si="21"/>
        <v>2223000</v>
      </c>
      <c r="AJ68" s="163">
        <f t="shared" si="22"/>
        <v>2223000</v>
      </c>
    </row>
    <row r="69" spans="1:36" x14ac:dyDescent="0.25">
      <c r="A69" s="164" t="s">
        <v>73</v>
      </c>
      <c r="B69" s="156"/>
      <c r="C69" s="157"/>
      <c r="D69" s="158"/>
      <c r="E69" s="158"/>
      <c r="F69" s="159">
        <f t="shared" si="12"/>
        <v>0</v>
      </c>
      <c r="G69" s="160"/>
      <c r="H69" s="157"/>
      <c r="I69" s="158"/>
      <c r="J69" s="158"/>
      <c r="K69" s="159">
        <f t="shared" si="13"/>
        <v>0</v>
      </c>
      <c r="L69" s="160"/>
      <c r="M69" s="157"/>
      <c r="N69" s="158"/>
      <c r="O69" s="158">
        <f>231000-68737</f>
        <v>162263</v>
      </c>
      <c r="P69" s="159">
        <f t="shared" si="14"/>
        <v>162263</v>
      </c>
      <c r="Q69" s="160"/>
      <c r="R69" s="157"/>
      <c r="S69" s="158"/>
      <c r="T69" s="158"/>
      <c r="U69" s="159">
        <f t="shared" si="15"/>
        <v>0</v>
      </c>
      <c r="V69" s="160"/>
      <c r="W69" s="157"/>
      <c r="X69" s="158"/>
      <c r="Y69" s="158">
        <v>54</v>
      </c>
      <c r="Z69" s="159">
        <f t="shared" si="16"/>
        <v>54</v>
      </c>
      <c r="AA69" s="160"/>
      <c r="AB69" s="157"/>
      <c r="AC69" s="158"/>
      <c r="AD69" s="158">
        <v>110</v>
      </c>
      <c r="AE69" s="159">
        <f t="shared" si="17"/>
        <v>110</v>
      </c>
      <c r="AF69" s="161">
        <f t="shared" si="18"/>
        <v>0</v>
      </c>
      <c r="AG69" s="162">
        <f t="shared" si="19"/>
        <v>0</v>
      </c>
      <c r="AH69" s="159">
        <f t="shared" si="20"/>
        <v>0</v>
      </c>
      <c r="AI69" s="159">
        <f t="shared" si="21"/>
        <v>162427</v>
      </c>
      <c r="AJ69" s="163">
        <f t="shared" si="22"/>
        <v>162427</v>
      </c>
    </row>
    <row r="70" spans="1:36" x14ac:dyDescent="0.25">
      <c r="A70" s="164" t="s">
        <v>74</v>
      </c>
      <c r="B70" s="156"/>
      <c r="C70" s="157"/>
      <c r="D70" s="158"/>
      <c r="E70" s="158"/>
      <c r="F70" s="159">
        <f t="shared" si="12"/>
        <v>0</v>
      </c>
      <c r="G70" s="160"/>
      <c r="H70" s="157"/>
      <c r="I70" s="158"/>
      <c r="J70" s="158"/>
      <c r="K70" s="159">
        <f t="shared" si="13"/>
        <v>0</v>
      </c>
      <c r="L70" s="160"/>
      <c r="M70" s="157"/>
      <c r="N70" s="158"/>
      <c r="O70" s="158">
        <v>-100000</v>
      </c>
      <c r="P70" s="159">
        <f t="shared" si="14"/>
        <v>-100000</v>
      </c>
      <c r="Q70" s="160"/>
      <c r="R70" s="157"/>
      <c r="S70" s="158"/>
      <c r="T70" s="158"/>
      <c r="U70" s="159">
        <f t="shared" si="15"/>
        <v>0</v>
      </c>
      <c r="V70" s="160"/>
      <c r="W70" s="157"/>
      <c r="X70" s="158"/>
      <c r="Y70" s="158"/>
      <c r="Z70" s="159">
        <f t="shared" si="16"/>
        <v>0</v>
      </c>
      <c r="AA70" s="160"/>
      <c r="AB70" s="157"/>
      <c r="AC70" s="158"/>
      <c r="AD70" s="158"/>
      <c r="AE70" s="159">
        <f t="shared" si="17"/>
        <v>0</v>
      </c>
      <c r="AF70" s="161">
        <f t="shared" si="18"/>
        <v>0</v>
      </c>
      <c r="AG70" s="162">
        <f t="shared" si="19"/>
        <v>0</v>
      </c>
      <c r="AH70" s="159">
        <f t="shared" si="20"/>
        <v>0</v>
      </c>
      <c r="AI70" s="159">
        <f t="shared" si="21"/>
        <v>-100000</v>
      </c>
      <c r="AJ70" s="163">
        <f t="shared" si="22"/>
        <v>-100000</v>
      </c>
    </row>
    <row r="71" spans="1:36" x14ac:dyDescent="0.25">
      <c r="A71" s="164" t="s">
        <v>75</v>
      </c>
      <c r="B71" s="156"/>
      <c r="C71" s="157"/>
      <c r="D71" s="158"/>
      <c r="E71" s="158"/>
      <c r="F71" s="159">
        <f t="shared" si="12"/>
        <v>0</v>
      </c>
      <c r="G71" s="160"/>
      <c r="H71" s="157"/>
      <c r="I71" s="158"/>
      <c r="J71" s="158"/>
      <c r="K71" s="159">
        <f t="shared" si="13"/>
        <v>0</v>
      </c>
      <c r="L71" s="160"/>
      <c r="M71" s="157"/>
      <c r="N71" s="158"/>
      <c r="O71" s="158">
        <v>-167722.20000000001</v>
      </c>
      <c r="P71" s="159">
        <f t="shared" si="14"/>
        <v>-167722.20000000001</v>
      </c>
      <c r="Q71" s="160"/>
      <c r="R71" s="157"/>
      <c r="S71" s="158"/>
      <c r="T71" s="158"/>
      <c r="U71" s="159">
        <f t="shared" si="15"/>
        <v>0</v>
      </c>
      <c r="V71" s="160"/>
      <c r="W71" s="157"/>
      <c r="X71" s="158"/>
      <c r="Y71" s="158"/>
      <c r="Z71" s="159">
        <f t="shared" si="16"/>
        <v>0</v>
      </c>
      <c r="AA71" s="160"/>
      <c r="AB71" s="157"/>
      <c r="AC71" s="158"/>
      <c r="AD71" s="158"/>
      <c r="AE71" s="159">
        <f t="shared" si="17"/>
        <v>0</v>
      </c>
      <c r="AF71" s="161">
        <f t="shared" si="18"/>
        <v>0</v>
      </c>
      <c r="AG71" s="162">
        <f t="shared" si="19"/>
        <v>0</v>
      </c>
      <c r="AH71" s="159">
        <f t="shared" si="20"/>
        <v>0</v>
      </c>
      <c r="AI71" s="159">
        <f t="shared" si="21"/>
        <v>-167722.20000000001</v>
      </c>
      <c r="AJ71" s="163">
        <f t="shared" si="22"/>
        <v>-167722.20000000001</v>
      </c>
    </row>
    <row r="72" spans="1:36" x14ac:dyDescent="0.25">
      <c r="A72" s="164" t="s">
        <v>76</v>
      </c>
      <c r="B72" s="156"/>
      <c r="C72" s="157"/>
      <c r="D72" s="158">
        <f>1637000-144679</f>
        <v>1492321</v>
      </c>
      <c r="E72" s="158"/>
      <c r="F72" s="159">
        <f t="shared" si="12"/>
        <v>1492321</v>
      </c>
      <c r="G72" s="160"/>
      <c r="H72" s="157"/>
      <c r="I72" s="158"/>
      <c r="J72" s="158"/>
      <c r="K72" s="159">
        <f t="shared" si="13"/>
        <v>0</v>
      </c>
      <c r="L72" s="160"/>
      <c r="M72" s="157"/>
      <c r="N72" s="158"/>
      <c r="O72" s="158"/>
      <c r="P72" s="159">
        <f t="shared" si="14"/>
        <v>0</v>
      </c>
      <c r="Q72" s="160"/>
      <c r="R72" s="157"/>
      <c r="S72" s="158"/>
      <c r="T72" s="158"/>
      <c r="U72" s="159">
        <f t="shared" si="15"/>
        <v>0</v>
      </c>
      <c r="V72" s="160"/>
      <c r="W72" s="157"/>
      <c r="X72" s="158"/>
      <c r="Y72" s="158"/>
      <c r="Z72" s="159">
        <f t="shared" si="16"/>
        <v>0</v>
      </c>
      <c r="AA72" s="160"/>
      <c r="AB72" s="157"/>
      <c r="AC72" s="158"/>
      <c r="AD72" s="158"/>
      <c r="AE72" s="159">
        <f t="shared" si="17"/>
        <v>0</v>
      </c>
      <c r="AF72" s="161">
        <f t="shared" si="18"/>
        <v>0</v>
      </c>
      <c r="AG72" s="162">
        <f t="shared" si="19"/>
        <v>0</v>
      </c>
      <c r="AH72" s="159">
        <f t="shared" si="20"/>
        <v>1492321</v>
      </c>
      <c r="AI72" s="159">
        <f t="shared" si="21"/>
        <v>0</v>
      </c>
      <c r="AJ72" s="163">
        <f t="shared" si="22"/>
        <v>1492321</v>
      </c>
    </row>
    <row r="73" spans="1:36" x14ac:dyDescent="0.25">
      <c r="A73" s="164" t="s">
        <v>77</v>
      </c>
      <c r="B73" s="156"/>
      <c r="C73" s="157"/>
      <c r="D73" s="158">
        <v>-31286.567955321971</v>
      </c>
      <c r="E73" s="158"/>
      <c r="F73" s="159">
        <f t="shared" si="12"/>
        <v>-31286.567955321971</v>
      </c>
      <c r="G73" s="160"/>
      <c r="H73" s="157"/>
      <c r="I73" s="158"/>
      <c r="J73" s="158"/>
      <c r="K73" s="159">
        <f t="shared" si="13"/>
        <v>0</v>
      </c>
      <c r="L73" s="160"/>
      <c r="M73" s="157"/>
      <c r="N73" s="158"/>
      <c r="O73" s="158"/>
      <c r="P73" s="159">
        <f t="shared" si="14"/>
        <v>0</v>
      </c>
      <c r="Q73" s="160"/>
      <c r="R73" s="157"/>
      <c r="S73" s="158"/>
      <c r="T73" s="158"/>
      <c r="U73" s="159">
        <f t="shared" si="15"/>
        <v>0</v>
      </c>
      <c r="V73" s="160"/>
      <c r="W73" s="157"/>
      <c r="X73" s="158"/>
      <c r="Y73" s="158"/>
      <c r="Z73" s="159">
        <f t="shared" si="16"/>
        <v>0</v>
      </c>
      <c r="AA73" s="160"/>
      <c r="AB73" s="157"/>
      <c r="AC73" s="158"/>
      <c r="AD73" s="158"/>
      <c r="AE73" s="159">
        <f t="shared" si="17"/>
        <v>0</v>
      </c>
      <c r="AF73" s="161">
        <f t="shared" si="18"/>
        <v>0</v>
      </c>
      <c r="AG73" s="162">
        <f t="shared" si="19"/>
        <v>0</v>
      </c>
      <c r="AH73" s="159">
        <f t="shared" si="20"/>
        <v>-31286.567955321971</v>
      </c>
      <c r="AI73" s="159">
        <f t="shared" si="21"/>
        <v>0</v>
      </c>
      <c r="AJ73" s="163">
        <f t="shared" si="22"/>
        <v>-31286.567955321971</v>
      </c>
    </row>
    <row r="74" spans="1:36" x14ac:dyDescent="0.25">
      <c r="A74" s="164" t="s">
        <v>78</v>
      </c>
      <c r="B74" s="156"/>
      <c r="C74" s="157"/>
      <c r="D74" s="158">
        <v>-20215.426207380751</v>
      </c>
      <c r="E74" s="158"/>
      <c r="F74" s="159">
        <f t="shared" si="12"/>
        <v>-20215.426207380751</v>
      </c>
      <c r="G74" s="160"/>
      <c r="H74" s="157"/>
      <c r="I74" s="158"/>
      <c r="J74" s="158"/>
      <c r="K74" s="159">
        <f t="shared" si="13"/>
        <v>0</v>
      </c>
      <c r="L74" s="160"/>
      <c r="M74" s="157"/>
      <c r="N74" s="158"/>
      <c r="O74" s="158"/>
      <c r="P74" s="159">
        <f t="shared" si="14"/>
        <v>0</v>
      </c>
      <c r="Q74" s="160"/>
      <c r="R74" s="157"/>
      <c r="S74" s="158"/>
      <c r="T74" s="158"/>
      <c r="U74" s="159">
        <f t="shared" si="15"/>
        <v>0</v>
      </c>
      <c r="V74" s="160"/>
      <c r="W74" s="157"/>
      <c r="X74" s="158"/>
      <c r="Y74" s="158"/>
      <c r="Z74" s="159">
        <f t="shared" si="16"/>
        <v>0</v>
      </c>
      <c r="AA74" s="160"/>
      <c r="AB74" s="157"/>
      <c r="AC74" s="158"/>
      <c r="AD74" s="158"/>
      <c r="AE74" s="159">
        <f t="shared" si="17"/>
        <v>0</v>
      </c>
      <c r="AF74" s="161">
        <f t="shared" si="18"/>
        <v>0</v>
      </c>
      <c r="AG74" s="162">
        <f t="shared" si="19"/>
        <v>0</v>
      </c>
      <c r="AH74" s="159">
        <f t="shared" si="20"/>
        <v>-20215.426207380751</v>
      </c>
      <c r="AI74" s="159">
        <f t="shared" si="21"/>
        <v>0</v>
      </c>
      <c r="AJ74" s="163">
        <f t="shared" si="22"/>
        <v>-20215.426207380751</v>
      </c>
    </row>
    <row r="75" spans="1:36" x14ac:dyDescent="0.25">
      <c r="A75" s="164" t="s">
        <v>79</v>
      </c>
      <c r="B75" s="156"/>
      <c r="C75" s="157"/>
      <c r="D75" s="158"/>
      <c r="E75" s="158">
        <v>12846.599999999999</v>
      </c>
      <c r="F75" s="159">
        <f t="shared" si="12"/>
        <v>12846.599999999999</v>
      </c>
      <c r="G75" s="160"/>
      <c r="H75" s="157"/>
      <c r="I75" s="158"/>
      <c r="J75" s="158"/>
      <c r="K75" s="159">
        <f t="shared" si="13"/>
        <v>0</v>
      </c>
      <c r="L75" s="160"/>
      <c r="M75" s="157"/>
      <c r="N75" s="158"/>
      <c r="O75" s="158"/>
      <c r="P75" s="159">
        <f t="shared" si="14"/>
        <v>0</v>
      </c>
      <c r="Q75" s="160"/>
      <c r="R75" s="157"/>
      <c r="S75" s="158"/>
      <c r="T75" s="158"/>
      <c r="U75" s="159">
        <f t="shared" si="15"/>
        <v>0</v>
      </c>
      <c r="V75" s="160"/>
      <c r="W75" s="157"/>
      <c r="X75" s="158"/>
      <c r="Y75" s="158"/>
      <c r="Z75" s="159">
        <f t="shared" si="16"/>
        <v>0</v>
      </c>
      <c r="AA75" s="160"/>
      <c r="AB75" s="157"/>
      <c r="AC75" s="158"/>
      <c r="AD75" s="158"/>
      <c r="AE75" s="159">
        <f t="shared" si="17"/>
        <v>0</v>
      </c>
      <c r="AF75" s="161">
        <f t="shared" si="18"/>
        <v>0</v>
      </c>
      <c r="AG75" s="162">
        <f t="shared" si="19"/>
        <v>0</v>
      </c>
      <c r="AH75" s="159">
        <f t="shared" si="20"/>
        <v>0</v>
      </c>
      <c r="AI75" s="159">
        <f t="shared" si="21"/>
        <v>12846.599999999999</v>
      </c>
      <c r="AJ75" s="163">
        <f t="shared" si="22"/>
        <v>12846.599999999999</v>
      </c>
    </row>
    <row r="76" spans="1:36" x14ac:dyDescent="0.25">
      <c r="A76" s="164" t="s">
        <v>80</v>
      </c>
      <c r="B76" s="156"/>
      <c r="C76" s="157"/>
      <c r="D76" s="158"/>
      <c r="E76" s="158"/>
      <c r="F76" s="159">
        <f t="shared" si="12"/>
        <v>0</v>
      </c>
      <c r="G76" s="160"/>
      <c r="H76" s="157"/>
      <c r="I76" s="158"/>
      <c r="J76" s="158">
        <f>26683.8+27749</f>
        <v>54432.800000000003</v>
      </c>
      <c r="K76" s="159">
        <f t="shared" si="13"/>
        <v>54432.800000000003</v>
      </c>
      <c r="L76" s="160"/>
      <c r="M76" s="157"/>
      <c r="N76" s="158"/>
      <c r="O76" s="158"/>
      <c r="P76" s="159">
        <f t="shared" si="14"/>
        <v>0</v>
      </c>
      <c r="Q76" s="160"/>
      <c r="R76" s="157"/>
      <c r="S76" s="158"/>
      <c r="T76" s="158"/>
      <c r="U76" s="159">
        <f t="shared" si="15"/>
        <v>0</v>
      </c>
      <c r="V76" s="160"/>
      <c r="W76" s="157"/>
      <c r="X76" s="158"/>
      <c r="Y76" s="158"/>
      <c r="Z76" s="159">
        <f t="shared" si="16"/>
        <v>0</v>
      </c>
      <c r="AA76" s="160"/>
      <c r="AB76" s="157"/>
      <c r="AC76" s="158"/>
      <c r="AD76" s="158"/>
      <c r="AE76" s="159">
        <f t="shared" si="17"/>
        <v>0</v>
      </c>
      <c r="AF76" s="161">
        <f t="shared" si="18"/>
        <v>0</v>
      </c>
      <c r="AG76" s="162">
        <f t="shared" si="19"/>
        <v>0</v>
      </c>
      <c r="AH76" s="159">
        <f t="shared" si="20"/>
        <v>0</v>
      </c>
      <c r="AI76" s="159">
        <f t="shared" si="21"/>
        <v>54432.800000000003</v>
      </c>
      <c r="AJ76" s="163">
        <f t="shared" si="22"/>
        <v>54432.800000000003</v>
      </c>
    </row>
    <row r="77" spans="1:36" x14ac:dyDescent="0.25">
      <c r="A77" s="164" t="s">
        <v>81</v>
      </c>
      <c r="B77" s="156"/>
      <c r="C77" s="157"/>
      <c r="D77" s="158"/>
      <c r="E77" s="158"/>
      <c r="F77" s="159">
        <f t="shared" si="12"/>
        <v>0</v>
      </c>
      <c r="G77" s="160"/>
      <c r="H77" s="157"/>
      <c r="I77" s="158"/>
      <c r="J77" s="158">
        <f>11700+10000</f>
        <v>21700</v>
      </c>
      <c r="K77" s="159">
        <f t="shared" si="13"/>
        <v>21700</v>
      </c>
      <c r="L77" s="160"/>
      <c r="M77" s="157"/>
      <c r="N77" s="158"/>
      <c r="O77" s="158"/>
      <c r="P77" s="159">
        <f t="shared" si="14"/>
        <v>0</v>
      </c>
      <c r="Q77" s="160"/>
      <c r="R77" s="157"/>
      <c r="S77" s="158"/>
      <c r="T77" s="158"/>
      <c r="U77" s="159">
        <f t="shared" si="15"/>
        <v>0</v>
      </c>
      <c r="V77" s="160"/>
      <c r="W77" s="157"/>
      <c r="X77" s="158"/>
      <c r="Y77" s="158"/>
      <c r="Z77" s="159">
        <f t="shared" si="16"/>
        <v>0</v>
      </c>
      <c r="AA77" s="160"/>
      <c r="AB77" s="157"/>
      <c r="AC77" s="158"/>
      <c r="AD77" s="158"/>
      <c r="AE77" s="159">
        <f t="shared" si="17"/>
        <v>0</v>
      </c>
      <c r="AF77" s="161">
        <f t="shared" si="18"/>
        <v>0</v>
      </c>
      <c r="AG77" s="162">
        <f t="shared" si="19"/>
        <v>0</v>
      </c>
      <c r="AH77" s="159">
        <f t="shared" si="20"/>
        <v>0</v>
      </c>
      <c r="AI77" s="159">
        <f t="shared" si="21"/>
        <v>21700</v>
      </c>
      <c r="AJ77" s="163">
        <f t="shared" si="22"/>
        <v>21700</v>
      </c>
    </row>
    <row r="78" spans="1:36" x14ac:dyDescent="0.25">
      <c r="A78" s="164" t="s">
        <v>82</v>
      </c>
      <c r="B78" s="156"/>
      <c r="C78" s="157"/>
      <c r="D78" s="158"/>
      <c r="E78" s="158"/>
      <c r="F78" s="159">
        <f t="shared" si="12"/>
        <v>0</v>
      </c>
      <c r="G78" s="160"/>
      <c r="H78" s="157"/>
      <c r="I78" s="158"/>
      <c r="J78" s="158"/>
      <c r="K78" s="159">
        <f t="shared" si="13"/>
        <v>0</v>
      </c>
      <c r="L78" s="160"/>
      <c r="M78" s="157"/>
      <c r="N78" s="158"/>
      <c r="O78" s="158">
        <v>118387.2</v>
      </c>
      <c r="P78" s="159">
        <f t="shared" si="14"/>
        <v>118387.2</v>
      </c>
      <c r="Q78" s="160"/>
      <c r="R78" s="157"/>
      <c r="S78" s="158"/>
      <c r="T78" s="158"/>
      <c r="U78" s="159">
        <f t="shared" si="15"/>
        <v>0</v>
      </c>
      <c r="V78" s="160"/>
      <c r="W78" s="157"/>
      <c r="X78" s="158"/>
      <c r="Y78" s="158"/>
      <c r="Z78" s="159">
        <f t="shared" si="16"/>
        <v>0</v>
      </c>
      <c r="AA78" s="160"/>
      <c r="AB78" s="157"/>
      <c r="AC78" s="158"/>
      <c r="AD78" s="158"/>
      <c r="AE78" s="159">
        <f t="shared" si="17"/>
        <v>0</v>
      </c>
      <c r="AF78" s="161">
        <f t="shared" si="18"/>
        <v>0</v>
      </c>
      <c r="AG78" s="162">
        <f t="shared" si="19"/>
        <v>0</v>
      </c>
      <c r="AH78" s="159">
        <f t="shared" si="20"/>
        <v>0</v>
      </c>
      <c r="AI78" s="159">
        <f t="shared" si="21"/>
        <v>118387.2</v>
      </c>
      <c r="AJ78" s="163">
        <f t="shared" si="22"/>
        <v>118387.2</v>
      </c>
    </row>
    <row r="79" spans="1:36" ht="15.75" thickBot="1" x14ac:dyDescent="0.3">
      <c r="A79" s="165" t="s">
        <v>83</v>
      </c>
      <c r="B79" s="156"/>
      <c r="C79" s="157"/>
      <c r="D79" s="158"/>
      <c r="E79" s="158"/>
      <c r="F79" s="159">
        <f t="shared" si="12"/>
        <v>0</v>
      </c>
      <c r="G79" s="160"/>
      <c r="H79" s="157"/>
      <c r="I79" s="158"/>
      <c r="J79" s="158"/>
      <c r="K79" s="159">
        <f t="shared" si="13"/>
        <v>0</v>
      </c>
      <c r="L79" s="160"/>
      <c r="M79" s="157"/>
      <c r="N79" s="158"/>
      <c r="O79" s="158">
        <v>-1060372.3587743135</v>
      </c>
      <c r="P79" s="159">
        <f t="shared" si="14"/>
        <v>-1060372.3587743135</v>
      </c>
      <c r="Q79" s="160"/>
      <c r="R79" s="157"/>
      <c r="S79" s="158"/>
      <c r="T79" s="158"/>
      <c r="U79" s="159">
        <f t="shared" si="15"/>
        <v>0</v>
      </c>
      <c r="V79" s="160"/>
      <c r="W79" s="157"/>
      <c r="X79" s="158"/>
      <c r="Y79" s="158"/>
      <c r="Z79" s="159">
        <f t="shared" si="16"/>
        <v>0</v>
      </c>
      <c r="AA79" s="160"/>
      <c r="AB79" s="157"/>
      <c r="AC79" s="158"/>
      <c r="AD79" s="158"/>
      <c r="AE79" s="159">
        <f t="shared" si="17"/>
        <v>0</v>
      </c>
      <c r="AF79" s="161">
        <f t="shared" si="18"/>
        <v>0</v>
      </c>
      <c r="AG79" s="162">
        <f t="shared" si="19"/>
        <v>0</v>
      </c>
      <c r="AH79" s="159">
        <f t="shared" si="20"/>
        <v>0</v>
      </c>
      <c r="AI79" s="159">
        <f t="shared" si="21"/>
        <v>-1060372.3587743135</v>
      </c>
      <c r="AJ79" s="163">
        <f t="shared" si="22"/>
        <v>-1060372.3587743135</v>
      </c>
    </row>
    <row r="80" spans="1:36" ht="15.75" thickBot="1" x14ac:dyDescent="0.3">
      <c r="A80" s="166" t="s">
        <v>84</v>
      </c>
      <c r="B80" s="175">
        <f>SUM(B45:B79)</f>
        <v>5156.57</v>
      </c>
      <c r="C80" s="168"/>
      <c r="D80" s="169">
        <f t="shared" ref="D80:E80" si="23">SUM(D45:D79)</f>
        <v>2052819.0058372973</v>
      </c>
      <c r="E80" s="169">
        <f t="shared" si="23"/>
        <v>12846.599999999999</v>
      </c>
      <c r="F80" s="170">
        <f>SUM(F45:F79)</f>
        <v>2363613.330857906</v>
      </c>
      <c r="G80" s="175">
        <f>SUM(G45:G79)</f>
        <v>27144.17</v>
      </c>
      <c r="H80" s="168"/>
      <c r="I80" s="169">
        <f t="shared" ref="I80" si="24">SUM(I45:I79)</f>
        <v>0</v>
      </c>
      <c r="J80" s="169">
        <f t="shared" ref="J80" si="25">SUM(J45:J79)</f>
        <v>76132.800000000003</v>
      </c>
      <c r="K80" s="170">
        <f>SUM(K45:K79)</f>
        <v>1999999.9605478321</v>
      </c>
      <c r="L80" s="175">
        <f>SUM(L45:L79)</f>
        <v>84422.750684788552</v>
      </c>
      <c r="M80" s="168"/>
      <c r="N80" s="169">
        <f t="shared" ref="N80" si="26">SUM(N45:N79)</f>
        <v>0</v>
      </c>
      <c r="O80" s="169">
        <f t="shared" ref="O80" si="27">SUM(O45:O79)</f>
        <v>1175555.6412256865</v>
      </c>
      <c r="P80" s="170">
        <f>SUM(P45:P79)</f>
        <v>8000000.0469679162</v>
      </c>
      <c r="Q80" s="175">
        <f>SUM(Q45:Q79)</f>
        <v>0</v>
      </c>
      <c r="R80" s="168"/>
      <c r="S80" s="169">
        <f t="shared" ref="S80" si="28">SUM(S45:S79)</f>
        <v>0</v>
      </c>
      <c r="T80" s="169">
        <f t="shared" ref="T80" si="29">SUM(T45:T79)</f>
        <v>0</v>
      </c>
      <c r="U80" s="170">
        <f>SUM(U45:U79)</f>
        <v>0</v>
      </c>
      <c r="V80" s="175">
        <f>SUM(V45:V79)</f>
        <v>5946</v>
      </c>
      <c r="W80" s="168"/>
      <c r="X80" s="169">
        <f t="shared" ref="X80" si="30">SUM(X45:X79)</f>
        <v>0</v>
      </c>
      <c r="Y80" s="169">
        <f t="shared" ref="Y80" si="31">SUM(Y45:Y79)</f>
        <v>54</v>
      </c>
      <c r="Z80" s="170">
        <f>SUM(Z45:Z79)</f>
        <v>301204.03578774666</v>
      </c>
      <c r="AA80" s="175">
        <f>SUM(AA45:AA79)</f>
        <v>27152.67</v>
      </c>
      <c r="AB80" s="168"/>
      <c r="AC80" s="169">
        <f t="shared" ref="AC80" si="32">SUM(AC45:AC79)</f>
        <v>0</v>
      </c>
      <c r="AD80" s="169">
        <f t="shared" ref="AD80" si="33">SUM(AD45:AD79)</f>
        <v>110</v>
      </c>
      <c r="AE80" s="170">
        <f>SUM(AE45:AE79)</f>
        <v>1552774.7784996042</v>
      </c>
      <c r="AF80" s="171">
        <f>SUM(AF45:AF79)</f>
        <v>149822.16068478851</v>
      </c>
      <c r="AG80" s="176">
        <f>SUM(AG45:AG79)</f>
        <v>10900074.105598021</v>
      </c>
      <c r="AH80" s="176">
        <f t="shared" ref="AH80:AI80" si="34">SUM(AH45:AH79)</f>
        <v>2052819.0058372973</v>
      </c>
      <c r="AI80" s="176">
        <f t="shared" si="34"/>
        <v>1264699.0412256864</v>
      </c>
      <c r="AJ80" s="174">
        <f>SUM(AJ45:AJ79)</f>
        <v>14217592.152661005</v>
      </c>
    </row>
    <row r="81" spans="1:43" ht="15.75" thickBot="1" x14ac:dyDescent="0.3">
      <c r="A81" s="166" t="s">
        <v>85</v>
      </c>
      <c r="B81" s="177">
        <f>SUM(B80+B43)</f>
        <v>19745.168499999996</v>
      </c>
      <c r="C81" s="178"/>
      <c r="D81" s="179">
        <f t="shared" ref="D81:E81" si="35">SUM(D80+D43)</f>
        <v>2052819.0058372973</v>
      </c>
      <c r="E81" s="179">
        <f t="shared" si="35"/>
        <v>295887.09129309561</v>
      </c>
      <c r="F81" s="180">
        <f>SUM(F80+F43)</f>
        <v>3999999.901986789</v>
      </c>
      <c r="G81" s="177">
        <f>SUM(G80+G43)</f>
        <v>27144.17</v>
      </c>
      <c r="H81" s="178"/>
      <c r="I81" s="179">
        <f t="shared" ref="I81" si="36">SUM(I80+I43)</f>
        <v>0</v>
      </c>
      <c r="J81" s="179">
        <f t="shared" ref="J81" si="37">SUM(J80+J43)</f>
        <v>76132.800000000003</v>
      </c>
      <c r="K81" s="180">
        <f>SUM(K80+K43)</f>
        <v>1999999.9605478321</v>
      </c>
      <c r="L81" s="177">
        <f>SUM(L80+L43)</f>
        <v>84422.750684788552</v>
      </c>
      <c r="M81" s="178"/>
      <c r="N81" s="179">
        <f t="shared" ref="N81" si="38">SUM(N80+N43)</f>
        <v>0</v>
      </c>
      <c r="O81" s="179">
        <f t="shared" ref="O81" si="39">SUM(O80+O43)</f>
        <v>1175555.6412256865</v>
      </c>
      <c r="P81" s="180">
        <f>SUM(P80+P43)</f>
        <v>8000000.0469679162</v>
      </c>
      <c r="Q81" s="177">
        <f>SUM(Q80+Q43)</f>
        <v>8027.6942000000008</v>
      </c>
      <c r="R81" s="178"/>
      <c r="S81" s="179">
        <f t="shared" ref="S81" si="40">SUM(S80+S43)</f>
        <v>0</v>
      </c>
      <c r="T81" s="179">
        <f t="shared" ref="T81" si="41">SUM(T80+T43)</f>
        <v>69732</v>
      </c>
      <c r="U81" s="180">
        <f>SUM(U80+U43)</f>
        <v>1000000.097047437</v>
      </c>
      <c r="V81" s="177">
        <f>SUM(V80+V43)</f>
        <v>12170.8</v>
      </c>
      <c r="W81" s="178"/>
      <c r="X81" s="179">
        <f t="shared" ref="X81" si="42">SUM(X80+X43)</f>
        <v>0</v>
      </c>
      <c r="Y81" s="179">
        <f t="shared" ref="Y81" si="43">SUM(Y80+Y43)</f>
        <v>54</v>
      </c>
      <c r="Z81" s="180">
        <f>SUM(Z80+Z43)</f>
        <v>999999.85114540718</v>
      </c>
      <c r="AA81" s="177">
        <f>SUM(AA80+AA43)</f>
        <v>31739.67</v>
      </c>
      <c r="AB81" s="178"/>
      <c r="AC81" s="179">
        <f t="shared" ref="AC81" si="44">SUM(AC80+AC43)</f>
        <v>0</v>
      </c>
      <c r="AD81" s="179">
        <f t="shared" ref="AD81" si="45">SUM(AD80+AD43)</f>
        <v>110</v>
      </c>
      <c r="AE81" s="180">
        <f>SUM(AE80+AE43)</f>
        <v>2000000.121813758</v>
      </c>
      <c r="AF81" s="181">
        <f>SUM(AF80+AF43)</f>
        <v>183250.25338478852</v>
      </c>
      <c r="AG81" s="182">
        <f t="shared" ref="AG81:AI81" si="46">SUM(AG80+AG43)</f>
        <v>14329709.441153061</v>
      </c>
      <c r="AH81" s="182">
        <f t="shared" si="46"/>
        <v>2052819.0058372973</v>
      </c>
      <c r="AI81" s="182">
        <f t="shared" si="46"/>
        <v>1617471.5325187822</v>
      </c>
      <c r="AJ81" s="183">
        <f>SUM(AJ80+AJ43)</f>
        <v>17999999.979509138</v>
      </c>
    </row>
    <row r="83" spans="1:43" x14ac:dyDescent="0.25">
      <c r="A83" s="4" t="s">
        <v>86</v>
      </c>
      <c r="G83" s="184"/>
      <c r="M83" s="184"/>
      <c r="S83" s="184"/>
      <c r="Y83" s="184"/>
      <c r="AE83" s="184"/>
      <c r="AG83" s="4"/>
      <c r="AK83" s="184"/>
      <c r="AL83" s="185"/>
      <c r="AM83" s="185"/>
      <c r="AN83" s="185"/>
      <c r="AO83" s="185"/>
      <c r="AP83" s="185"/>
      <c r="AQ83" s="158"/>
    </row>
    <row r="84" spans="1:43" x14ac:dyDescent="0.25">
      <c r="AG84" s="4"/>
    </row>
    <row r="85" spans="1:43" x14ac:dyDescent="0.25">
      <c r="A85" s="186" t="s">
        <v>87</v>
      </c>
      <c r="G85" s="184"/>
      <c r="M85" s="184"/>
      <c r="S85" s="184"/>
      <c r="Y85" s="184"/>
      <c r="AE85" s="184"/>
      <c r="AG85" s="4"/>
      <c r="AK85" s="184"/>
      <c r="AL85" s="185"/>
      <c r="AM85" s="185"/>
      <c r="AN85" s="185"/>
      <c r="AO85" s="185"/>
      <c r="AP85" s="185"/>
      <c r="AQ85" s="158"/>
    </row>
    <row r="86" spans="1:43" ht="15.75" thickBot="1" x14ac:dyDescent="0.3">
      <c r="G86" s="184"/>
      <c r="M86" s="184"/>
      <c r="S86" s="184"/>
      <c r="Y86" s="184"/>
      <c r="AE86" s="184"/>
      <c r="AG86" s="4"/>
      <c r="AK86" s="184"/>
      <c r="AL86" s="185"/>
      <c r="AM86" s="185"/>
      <c r="AN86" s="185"/>
      <c r="AO86" s="185"/>
      <c r="AP86" s="185"/>
      <c r="AQ86" s="158"/>
    </row>
    <row r="87" spans="1:43" ht="84.75" customHeight="1" x14ac:dyDescent="0.25">
      <c r="A87" s="272" t="s">
        <v>88</v>
      </c>
      <c r="B87" s="273"/>
      <c r="C87" s="273"/>
      <c r="D87" s="273"/>
      <c r="E87" s="273"/>
      <c r="F87" s="273"/>
      <c r="G87" s="273"/>
      <c r="H87" s="273"/>
      <c r="I87" s="274"/>
      <c r="M87" s="184"/>
      <c r="S87" s="184"/>
      <c r="Y87" s="184"/>
      <c r="AE87" s="184"/>
      <c r="AG87" s="4"/>
      <c r="AK87" s="184"/>
      <c r="AL87" s="185"/>
      <c r="AM87" s="185"/>
      <c r="AN87" s="185"/>
      <c r="AO87" s="185"/>
      <c r="AP87" s="185"/>
      <c r="AQ87" s="158"/>
    </row>
    <row r="88" spans="1:43" ht="84.75" customHeight="1" x14ac:dyDescent="0.25">
      <c r="A88" s="261" t="s">
        <v>89</v>
      </c>
      <c r="B88" s="262"/>
      <c r="C88" s="262"/>
      <c r="D88" s="262"/>
      <c r="E88" s="262"/>
      <c r="F88" s="262"/>
      <c r="G88" s="262"/>
      <c r="H88" s="262"/>
      <c r="I88" s="263"/>
      <c r="M88" s="184"/>
      <c r="S88" s="184"/>
      <c r="Y88" s="184"/>
      <c r="AE88" s="184"/>
      <c r="AG88" s="4"/>
      <c r="AK88" s="184"/>
      <c r="AL88" s="185"/>
      <c r="AM88" s="185"/>
      <c r="AN88" s="185"/>
      <c r="AO88" s="185"/>
      <c r="AP88" s="185"/>
      <c r="AQ88" s="158"/>
    </row>
    <row r="89" spans="1:43" ht="67.5" customHeight="1" x14ac:dyDescent="0.25">
      <c r="A89" s="261" t="s">
        <v>90</v>
      </c>
      <c r="B89" s="262"/>
      <c r="C89" s="262"/>
      <c r="D89" s="262"/>
      <c r="E89" s="262"/>
      <c r="F89" s="262"/>
      <c r="G89" s="262"/>
      <c r="H89" s="262"/>
      <c r="I89" s="263"/>
      <c r="M89" s="184"/>
      <c r="S89" s="184"/>
      <c r="Y89" s="184"/>
      <c r="AE89" s="184"/>
      <c r="AG89" s="4"/>
      <c r="AK89" s="184"/>
      <c r="AL89" s="185"/>
      <c r="AM89" s="185"/>
      <c r="AN89" s="185"/>
      <c r="AO89" s="185"/>
      <c r="AP89" s="185"/>
      <c r="AQ89" s="158"/>
    </row>
    <row r="90" spans="1:43" ht="67.5" customHeight="1" x14ac:dyDescent="0.25">
      <c r="A90" s="261" t="s">
        <v>91</v>
      </c>
      <c r="B90" s="262"/>
      <c r="C90" s="262"/>
      <c r="D90" s="262"/>
      <c r="E90" s="262"/>
      <c r="F90" s="262"/>
      <c r="G90" s="262"/>
      <c r="H90" s="262"/>
      <c r="I90" s="263"/>
      <c r="M90" s="184"/>
      <c r="S90" s="184"/>
      <c r="Y90" s="184"/>
      <c r="AE90" s="184"/>
      <c r="AG90" s="4"/>
      <c r="AK90" s="184"/>
      <c r="AL90" s="185"/>
      <c r="AM90" s="185"/>
      <c r="AN90" s="185"/>
      <c r="AO90" s="185"/>
      <c r="AP90" s="185"/>
      <c r="AQ90" s="158"/>
    </row>
    <row r="91" spans="1:43" ht="67.5" customHeight="1" x14ac:dyDescent="0.25">
      <c r="A91" s="261" t="s">
        <v>92</v>
      </c>
      <c r="B91" s="262"/>
      <c r="C91" s="262"/>
      <c r="D91" s="262"/>
      <c r="E91" s="262"/>
      <c r="F91" s="262"/>
      <c r="G91" s="262"/>
      <c r="H91" s="262"/>
      <c r="I91" s="263"/>
      <c r="M91" s="184"/>
      <c r="S91" s="184"/>
      <c r="Y91" s="184"/>
      <c r="AE91" s="184"/>
      <c r="AG91" s="4"/>
      <c r="AK91" s="184"/>
      <c r="AL91" s="185"/>
      <c r="AM91" s="185"/>
      <c r="AN91" s="185"/>
      <c r="AO91" s="185"/>
      <c r="AP91" s="185"/>
      <c r="AQ91" s="158"/>
    </row>
    <row r="92" spans="1:43" ht="67.5" customHeight="1" thickBot="1" x14ac:dyDescent="0.3">
      <c r="A92" s="264" t="s">
        <v>93</v>
      </c>
      <c r="B92" s="265"/>
      <c r="C92" s="265"/>
      <c r="D92" s="265"/>
      <c r="E92" s="265"/>
      <c r="F92" s="265"/>
      <c r="G92" s="265"/>
      <c r="H92" s="265"/>
      <c r="I92" s="266"/>
      <c r="M92" s="184"/>
      <c r="S92" s="184"/>
      <c r="Y92" s="184"/>
      <c r="AE92" s="184"/>
      <c r="AG92" s="4"/>
      <c r="AK92" s="184"/>
      <c r="AL92" s="185"/>
      <c r="AM92" s="185"/>
      <c r="AN92" s="185"/>
      <c r="AO92" s="185"/>
      <c r="AP92" s="185"/>
      <c r="AQ92" s="158"/>
    </row>
    <row r="93" spans="1:43" ht="31.5" customHeight="1" x14ac:dyDescent="0.25">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row>
    <row r="94" spans="1:43" x14ac:dyDescent="0.25">
      <c r="A94" s="277" t="s">
        <v>291</v>
      </c>
      <c r="B94" s="277"/>
      <c r="C94" s="277"/>
      <c r="D94" s="277"/>
      <c r="E94" s="277"/>
      <c r="F94" s="277"/>
      <c r="G94" s="277"/>
      <c r="H94" s="277"/>
      <c r="I94" s="277"/>
    </row>
    <row r="95" spans="1:43" x14ac:dyDescent="0.25">
      <c r="A95" s="277"/>
      <c r="B95" s="277"/>
      <c r="C95" s="277"/>
      <c r="D95" s="277"/>
      <c r="E95" s="277"/>
      <c r="F95" s="277"/>
      <c r="G95" s="277"/>
      <c r="H95" s="277"/>
      <c r="I95" s="277"/>
    </row>
    <row r="96" spans="1:43" x14ac:dyDescent="0.25">
      <c r="A96" s="277"/>
      <c r="B96" s="277"/>
      <c r="C96" s="277"/>
      <c r="D96" s="277"/>
      <c r="E96" s="277"/>
      <c r="F96" s="277"/>
      <c r="G96" s="277"/>
      <c r="H96" s="277"/>
      <c r="I96" s="277"/>
    </row>
    <row r="97" spans="1:9" x14ac:dyDescent="0.25">
      <c r="A97" s="277"/>
      <c r="B97" s="277"/>
      <c r="C97" s="277"/>
      <c r="D97" s="277"/>
      <c r="E97" s="277"/>
      <c r="F97" s="277"/>
      <c r="G97" s="277"/>
      <c r="H97" s="277"/>
      <c r="I97" s="277"/>
    </row>
  </sheetData>
  <mergeCells count="19">
    <mergeCell ref="A94:I97"/>
    <mergeCell ref="A88:I88"/>
    <mergeCell ref="L8:P8"/>
    <mergeCell ref="Q8:U8"/>
    <mergeCell ref="V8:Z8"/>
    <mergeCell ref="AI8:AI9"/>
    <mergeCell ref="AJ8:AJ9"/>
    <mergeCell ref="A91:I91"/>
    <mergeCell ref="A92:I92"/>
    <mergeCell ref="A89:I89"/>
    <mergeCell ref="A90:I90"/>
    <mergeCell ref="A8:A9"/>
    <mergeCell ref="B8:F8"/>
    <mergeCell ref="G8:K8"/>
    <mergeCell ref="AA8:AE8"/>
    <mergeCell ref="A87:I87"/>
    <mergeCell ref="AF8:AF9"/>
    <mergeCell ref="AG8:AG9"/>
    <mergeCell ref="AH8:AH9"/>
  </mergeCells>
  <pageMargins left="0.7" right="0.7" top="0.75" bottom="0.75" header="0.3" footer="0.3"/>
  <pageSetup scale="26" orientation="landscape" r:id="rId1"/>
  <headerFooter>
    <oddHeader>&amp;C&amp;"-,Bold"&amp;16&amp;KFF0000ANNUAL FEE DETAIL
MOCK DATA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34" zoomScaleNormal="100" workbookViewId="0">
      <selection activeCell="N15" sqref="N15"/>
    </sheetView>
  </sheetViews>
  <sheetFormatPr defaultRowHeight="15" x14ac:dyDescent="0.25"/>
  <cols>
    <col min="1" max="1" width="23.85546875" customWidth="1"/>
    <col min="2" max="2" width="17.42578125" customWidth="1"/>
    <col min="3" max="3" width="18.7109375" customWidth="1"/>
    <col min="4" max="4" width="18.42578125" customWidth="1"/>
    <col min="5" max="5" width="15.85546875" style="7" customWidth="1"/>
    <col min="6" max="6" width="19.140625" customWidth="1"/>
    <col min="7" max="7" width="18.140625" customWidth="1"/>
    <col min="8" max="8" width="17.42578125" customWidth="1"/>
    <col min="9" max="9" width="16.5703125" customWidth="1"/>
    <col min="10" max="10" width="17" style="7" customWidth="1"/>
    <col min="11" max="11" width="13.5703125" style="7" customWidth="1"/>
    <col min="12" max="12" width="14.85546875" style="7" customWidth="1"/>
  </cols>
  <sheetData>
    <row r="1" spans="1:1" ht="15.75" x14ac:dyDescent="0.25">
      <c r="A1" s="8"/>
    </row>
    <row r="2" spans="1:1" ht="15.75" x14ac:dyDescent="0.25">
      <c r="A2" s="8"/>
    </row>
    <row r="3" spans="1:1" ht="15.75" x14ac:dyDescent="0.25">
      <c r="A3" s="8"/>
    </row>
    <row r="4" spans="1:1" ht="15.75" x14ac:dyDescent="0.25">
      <c r="A4" s="8"/>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ht="15.75" x14ac:dyDescent="0.25">
      <c r="A13" s="8"/>
    </row>
    <row r="14" spans="1:1" ht="15.75" x14ac:dyDescent="0.25">
      <c r="A14" s="8"/>
    </row>
    <row r="15" spans="1:1" ht="15.75" x14ac:dyDescent="0.25">
      <c r="A15" s="8"/>
    </row>
    <row r="16" spans="1:1" ht="15.75" x14ac:dyDescent="0.25">
      <c r="A16" s="8"/>
    </row>
    <row r="17" spans="1:12" ht="15.75" x14ac:dyDescent="0.25">
      <c r="A17" s="8"/>
    </row>
    <row r="18" spans="1:12" ht="15.75" x14ac:dyDescent="0.25">
      <c r="A18" s="8"/>
    </row>
    <row r="19" spans="1:12" ht="15.75" x14ac:dyDescent="0.25">
      <c r="A19" s="8"/>
    </row>
    <row r="20" spans="1:12" ht="15.75" x14ac:dyDescent="0.25">
      <c r="A20" s="8"/>
    </row>
    <row r="21" spans="1:12" ht="15.75" x14ac:dyDescent="0.25">
      <c r="A21" s="8"/>
    </row>
    <row r="22" spans="1:12" ht="16.5" thickBot="1" x14ac:dyDescent="0.3">
      <c r="A22" s="8"/>
    </row>
    <row r="23" spans="1:12" ht="15.75" thickBot="1" x14ac:dyDescent="0.3">
      <c r="A23" s="9"/>
      <c r="B23" s="10"/>
      <c r="C23" s="10"/>
      <c r="D23" s="10"/>
      <c r="E23" s="11" t="s">
        <v>94</v>
      </c>
      <c r="F23" s="12" t="s">
        <v>95</v>
      </c>
      <c r="G23" s="12" t="s">
        <v>96</v>
      </c>
      <c r="H23" s="13" t="s">
        <v>97</v>
      </c>
      <c r="I23" s="14" t="s">
        <v>98</v>
      </c>
      <c r="J23" s="12" t="s">
        <v>99</v>
      </c>
      <c r="K23" s="12" t="s">
        <v>100</v>
      </c>
      <c r="L23" s="15" t="s">
        <v>101</v>
      </c>
    </row>
    <row r="24" spans="1:12" s="5" customFormat="1" ht="75.75" thickBot="1" x14ac:dyDescent="0.3">
      <c r="A24" s="131" t="s">
        <v>102</v>
      </c>
      <c r="B24" s="131" t="s">
        <v>103</v>
      </c>
      <c r="C24" s="282" t="s">
        <v>104</v>
      </c>
      <c r="D24" s="283"/>
      <c r="E24" s="136" t="s">
        <v>105</v>
      </c>
      <c r="F24" s="130" t="s">
        <v>106</v>
      </c>
      <c r="G24" s="130" t="s">
        <v>107</v>
      </c>
      <c r="H24" s="137" t="s">
        <v>108</v>
      </c>
      <c r="I24" s="136" t="s">
        <v>109</v>
      </c>
      <c r="J24" s="130" t="s">
        <v>110</v>
      </c>
      <c r="K24" s="130" t="s">
        <v>111</v>
      </c>
      <c r="L24" s="130" t="s">
        <v>0</v>
      </c>
    </row>
    <row r="25" spans="1:12" s="6" customFormat="1" ht="24.75" thickBot="1" x14ac:dyDescent="0.3">
      <c r="A25" s="16"/>
      <c r="B25" s="17"/>
      <c r="C25" s="17"/>
      <c r="D25" s="17"/>
      <c r="E25" s="68" t="s">
        <v>295</v>
      </c>
      <c r="F25" s="18"/>
      <c r="G25" s="19"/>
      <c r="H25" s="18"/>
      <c r="I25" s="20"/>
      <c r="J25" s="21" t="s">
        <v>112</v>
      </c>
      <c r="K25" s="21" t="s">
        <v>113</v>
      </c>
      <c r="L25" s="22" t="s">
        <v>114</v>
      </c>
    </row>
    <row r="26" spans="1:12" s="5" customFormat="1" ht="33" customHeight="1" x14ac:dyDescent="0.25">
      <c r="A26" s="23" t="s">
        <v>115</v>
      </c>
      <c r="B26" s="24" t="s">
        <v>116</v>
      </c>
      <c r="C26" s="284" t="s">
        <v>117</v>
      </c>
      <c r="D26" s="285"/>
      <c r="E26" s="25">
        <f>'2) ANNUAL FEE DETAIL-MOCK DATA'!F81</f>
        <v>3999999.901986789</v>
      </c>
      <c r="F26" s="92">
        <f>'1) MOCK DATA'!D141</f>
        <v>80</v>
      </c>
      <c r="G26" s="93">
        <f>'1) MOCK DATA'!D142</f>
        <v>30</v>
      </c>
      <c r="H26" s="26">
        <v>0.5</v>
      </c>
      <c r="I26" s="27">
        <f>1-H26</f>
        <v>0.5</v>
      </c>
      <c r="J26" s="28">
        <f>E26*H26</f>
        <v>1999999.9509933945</v>
      </c>
      <c r="K26" s="29">
        <f>E26-J26</f>
        <v>1999999.9509933945</v>
      </c>
      <c r="L26" s="28">
        <f>J26+K26</f>
        <v>3999999.901986789</v>
      </c>
    </row>
    <row r="27" spans="1:12" s="5" customFormat="1" ht="46.5" customHeight="1" x14ac:dyDescent="0.25">
      <c r="A27" s="30" t="s">
        <v>118</v>
      </c>
      <c r="B27" s="31" t="s">
        <v>119</v>
      </c>
      <c r="C27" s="280" t="s">
        <v>120</v>
      </c>
      <c r="D27" s="281"/>
      <c r="E27" s="32">
        <f>'2) ANNUAL FEE DETAIL-MOCK DATA'!K81</f>
        <v>1999999.9605478321</v>
      </c>
      <c r="F27" s="33">
        <f>'1) MOCK DATA'!C141</f>
        <v>1100</v>
      </c>
      <c r="G27" s="34">
        <f>'1) MOCK DATA'!C142</f>
        <v>4200</v>
      </c>
      <c r="H27" s="35">
        <f>F27/SUM(F27:G27)</f>
        <v>0.20754716981132076</v>
      </c>
      <c r="I27" s="36">
        <f>1-H27</f>
        <v>0.79245283018867929</v>
      </c>
      <c r="J27" s="37">
        <f t="shared" ref="J27:J31" si="0">E27*H27</f>
        <v>415094.33143445576</v>
      </c>
      <c r="K27" s="38">
        <f t="shared" ref="K27:K31" si="1">E27-J27</f>
        <v>1584905.6291133764</v>
      </c>
      <c r="L27" s="37">
        <f t="shared" ref="L27:L31" si="2">J27+K27</f>
        <v>1999999.9605478321</v>
      </c>
    </row>
    <row r="28" spans="1:12" s="5" customFormat="1" ht="42.75" customHeight="1" x14ac:dyDescent="0.25">
      <c r="A28" s="30" t="s">
        <v>121</v>
      </c>
      <c r="B28" s="31" t="s">
        <v>122</v>
      </c>
      <c r="C28" s="280" t="s">
        <v>123</v>
      </c>
      <c r="D28" s="281"/>
      <c r="E28" s="32">
        <f>'2) ANNUAL FEE DETAIL-MOCK DATA'!P81</f>
        <v>8000000.0469679162</v>
      </c>
      <c r="F28" s="33">
        <f>'1) MOCK DATA'!D141</f>
        <v>80</v>
      </c>
      <c r="G28" s="34">
        <f>'1) MOCK DATA'!D142</f>
        <v>30</v>
      </c>
      <c r="H28" s="35">
        <f t="shared" ref="H28:H31" si="3">F28/SUM(F28:G28)</f>
        <v>0.72727272727272729</v>
      </c>
      <c r="I28" s="36">
        <f t="shared" ref="I28:I31" si="4">1-H28</f>
        <v>0.27272727272727271</v>
      </c>
      <c r="J28" s="37">
        <f t="shared" si="0"/>
        <v>5818181.8523403024</v>
      </c>
      <c r="K28" s="38">
        <f t="shared" si="1"/>
        <v>2181818.1946276138</v>
      </c>
      <c r="L28" s="37">
        <f t="shared" si="2"/>
        <v>8000000.0469679162</v>
      </c>
    </row>
    <row r="29" spans="1:12" s="5" customFormat="1" ht="47.25" customHeight="1" x14ac:dyDescent="0.25">
      <c r="A29" s="30" t="s">
        <v>124</v>
      </c>
      <c r="B29" s="31" t="s">
        <v>125</v>
      </c>
      <c r="C29" s="280" t="s">
        <v>126</v>
      </c>
      <c r="D29" s="281"/>
      <c r="E29" s="32">
        <f>'2) ANNUAL FEE DETAIL-MOCK DATA'!U81</f>
        <v>1000000.097047437</v>
      </c>
      <c r="F29" s="33">
        <f>'1) MOCK DATA'!B141</f>
        <v>1000</v>
      </c>
      <c r="G29" s="34">
        <f>'1) MOCK DATA'!B142</f>
        <v>2000</v>
      </c>
      <c r="H29" s="35">
        <f t="shared" si="3"/>
        <v>0.33333333333333331</v>
      </c>
      <c r="I29" s="36">
        <f t="shared" si="4"/>
        <v>0.66666666666666674</v>
      </c>
      <c r="J29" s="37">
        <f t="shared" si="0"/>
        <v>333333.36568247899</v>
      </c>
      <c r="K29" s="38">
        <f t="shared" si="1"/>
        <v>666666.73136495799</v>
      </c>
      <c r="L29" s="37">
        <f t="shared" si="2"/>
        <v>1000000.097047437</v>
      </c>
    </row>
    <row r="30" spans="1:12" s="5" customFormat="1" ht="30" x14ac:dyDescent="0.25">
      <c r="A30" s="30" t="s">
        <v>127</v>
      </c>
      <c r="B30" s="31" t="s">
        <v>128</v>
      </c>
      <c r="C30" s="280" t="s">
        <v>129</v>
      </c>
      <c r="D30" s="281"/>
      <c r="E30" s="32">
        <f>'2) ANNUAL FEE DETAIL-MOCK DATA'!Z81</f>
        <v>999999.85114540718</v>
      </c>
      <c r="F30" s="33">
        <v>1</v>
      </c>
      <c r="G30" s="34">
        <v>0</v>
      </c>
      <c r="H30" s="35">
        <f t="shared" si="3"/>
        <v>1</v>
      </c>
      <c r="I30" s="36">
        <f t="shared" si="4"/>
        <v>0</v>
      </c>
      <c r="J30" s="37">
        <f t="shared" si="0"/>
        <v>999999.85114540718</v>
      </c>
      <c r="K30" s="38">
        <f t="shared" si="1"/>
        <v>0</v>
      </c>
      <c r="L30" s="37">
        <f t="shared" si="2"/>
        <v>999999.85114540718</v>
      </c>
    </row>
    <row r="31" spans="1:12" s="5" customFormat="1" ht="27.75" customHeight="1" thickBot="1" x14ac:dyDescent="0.3">
      <c r="A31" s="39" t="s">
        <v>130</v>
      </c>
      <c r="B31" s="40" t="s">
        <v>131</v>
      </c>
      <c r="C31" s="291" t="s">
        <v>129</v>
      </c>
      <c r="D31" s="292"/>
      <c r="E31" s="41">
        <f>'2) ANNUAL FEE DETAIL-MOCK DATA'!AE81</f>
        <v>2000000.121813758</v>
      </c>
      <c r="F31" s="42">
        <v>0</v>
      </c>
      <c r="G31" s="43">
        <v>1</v>
      </c>
      <c r="H31" s="44">
        <f t="shared" si="3"/>
        <v>0</v>
      </c>
      <c r="I31" s="45">
        <f t="shared" si="4"/>
        <v>1</v>
      </c>
      <c r="J31" s="46">
        <f t="shared" si="0"/>
        <v>0</v>
      </c>
      <c r="K31" s="47">
        <f t="shared" si="1"/>
        <v>2000000.121813758</v>
      </c>
      <c r="L31" s="46">
        <f t="shared" si="2"/>
        <v>2000000.121813758</v>
      </c>
    </row>
    <row r="32" spans="1:12" ht="15.75" thickBot="1" x14ac:dyDescent="0.3">
      <c r="A32" s="48" t="s">
        <v>132</v>
      </c>
      <c r="B32" s="49"/>
      <c r="C32" s="49"/>
      <c r="D32" s="49"/>
      <c r="E32" s="50">
        <f>SUM(E26:E31)</f>
        <v>17999999.979509138</v>
      </c>
      <c r="F32" s="49"/>
      <c r="G32" s="51"/>
      <c r="H32" s="52"/>
      <c r="I32" s="51"/>
      <c r="J32" s="50">
        <f t="shared" ref="J32:L32" si="5">SUM(J26:J31)</f>
        <v>9566609.3515960388</v>
      </c>
      <c r="K32" s="53">
        <f t="shared" si="5"/>
        <v>8433390.6279131006</v>
      </c>
      <c r="L32" s="50">
        <f t="shared" si="5"/>
        <v>17999999.979509138</v>
      </c>
    </row>
    <row r="33" spans="1:12" ht="15.75" thickBot="1" x14ac:dyDescent="0.3"/>
    <row r="34" spans="1:12" ht="15.75" thickBot="1" x14ac:dyDescent="0.3">
      <c r="A34" s="9"/>
      <c r="B34" s="12" t="s">
        <v>133</v>
      </c>
      <c r="C34" s="12" t="s">
        <v>134</v>
      </c>
      <c r="D34" s="12" t="s">
        <v>135</v>
      </c>
      <c r="E34" s="12" t="s">
        <v>136</v>
      </c>
      <c r="F34" s="12" t="s">
        <v>137</v>
      </c>
      <c r="G34" s="12" t="s">
        <v>138</v>
      </c>
      <c r="H34" s="15" t="s">
        <v>139</v>
      </c>
      <c r="I34" s="54"/>
      <c r="J34" s="112" t="s">
        <v>302</v>
      </c>
    </row>
    <row r="35" spans="1:12" ht="15" customHeight="1" x14ac:dyDescent="0.25">
      <c r="A35" s="278" t="s">
        <v>140</v>
      </c>
      <c r="B35" s="132" t="s">
        <v>115</v>
      </c>
      <c r="C35" s="132" t="s">
        <v>118</v>
      </c>
      <c r="D35" s="132" t="s">
        <v>121</v>
      </c>
      <c r="E35" s="132" t="s">
        <v>124</v>
      </c>
      <c r="F35" s="132" t="s">
        <v>127</v>
      </c>
      <c r="G35" s="132" t="s">
        <v>130</v>
      </c>
      <c r="H35" s="133" t="s">
        <v>132</v>
      </c>
      <c r="J35" s="286" t="s">
        <v>312</v>
      </c>
    </row>
    <row r="36" spans="1:12" ht="46.5" customHeight="1" thickBot="1" x14ac:dyDescent="0.3">
      <c r="A36" s="279"/>
      <c r="B36" s="134" t="s">
        <v>116</v>
      </c>
      <c r="C36" s="134" t="s">
        <v>119</v>
      </c>
      <c r="D36" s="134" t="s">
        <v>122</v>
      </c>
      <c r="E36" s="134" t="s">
        <v>125</v>
      </c>
      <c r="F36" s="134" t="s">
        <v>128</v>
      </c>
      <c r="G36" s="134" t="s">
        <v>131</v>
      </c>
      <c r="H36" s="135" t="s">
        <v>141</v>
      </c>
      <c r="J36" s="287"/>
    </row>
    <row r="37" spans="1:12" ht="15.75" thickBot="1" x14ac:dyDescent="0.3">
      <c r="A37" s="55"/>
      <c r="B37" s="129" t="s">
        <v>313</v>
      </c>
      <c r="C37" s="129" t="s">
        <v>313</v>
      </c>
      <c r="D37" s="288" t="s">
        <v>315</v>
      </c>
      <c r="E37" s="289"/>
      <c r="F37" s="289"/>
      <c r="G37" s="290"/>
      <c r="H37" s="60" t="s">
        <v>142</v>
      </c>
      <c r="J37" s="129" t="s">
        <v>317</v>
      </c>
    </row>
    <row r="38" spans="1:12" x14ac:dyDescent="0.25">
      <c r="A38" s="221" t="s">
        <v>298</v>
      </c>
      <c r="B38" s="215">
        <f>J26*J38</f>
        <v>1963272.0720936826</v>
      </c>
      <c r="C38" s="215">
        <f>J27*J38</f>
        <v>407471.56407923199</v>
      </c>
      <c r="D38" s="215">
        <f>J28</f>
        <v>5818181.8523403024</v>
      </c>
      <c r="E38" s="215">
        <f>J29</f>
        <v>333333.36568247899</v>
      </c>
      <c r="F38" s="215">
        <f>J30</f>
        <v>999999.85114540718</v>
      </c>
      <c r="G38" s="215">
        <f>J31</f>
        <v>0</v>
      </c>
      <c r="H38" s="215">
        <f>SUM(B38:G38)</f>
        <v>9522258.7053411026</v>
      </c>
      <c r="J38" s="109">
        <f>'1) MOCK DATA'!K141</f>
        <v>0.98163606010016691</v>
      </c>
    </row>
    <row r="39" spans="1:12" ht="15.75" thickBot="1" x14ac:dyDescent="0.3">
      <c r="A39" s="221" t="s">
        <v>299</v>
      </c>
      <c r="B39" s="216">
        <f>J26*J39</f>
        <v>36727.878899711752</v>
      </c>
      <c r="C39" s="216">
        <f>J27*J39</f>
        <v>7622.7673552237284</v>
      </c>
      <c r="D39" s="216">
        <v>0</v>
      </c>
      <c r="E39" s="216">
        <v>0</v>
      </c>
      <c r="F39" s="216">
        <v>0</v>
      </c>
      <c r="G39" s="216">
        <v>0</v>
      </c>
      <c r="H39" s="216">
        <f>SUM(B39:G39)</f>
        <v>44350.646254935476</v>
      </c>
      <c r="J39" s="110">
        <f>'1) MOCK DATA'!L141</f>
        <v>1.8363939899833055E-2</v>
      </c>
    </row>
    <row r="40" spans="1:12" ht="15.75" thickBot="1" x14ac:dyDescent="0.3">
      <c r="A40" s="56" t="s">
        <v>143</v>
      </c>
      <c r="B40" s="217">
        <f>J26</f>
        <v>1999999.9509933945</v>
      </c>
      <c r="C40" s="217">
        <f>J27</f>
        <v>415094.33143445576</v>
      </c>
      <c r="D40" s="217">
        <f>J28</f>
        <v>5818181.8523403024</v>
      </c>
      <c r="E40" s="217">
        <f>J29</f>
        <v>333333.36568247899</v>
      </c>
      <c r="F40" s="217">
        <f>J30</f>
        <v>999999.85114540718</v>
      </c>
      <c r="G40" s="217">
        <f>J31</f>
        <v>0</v>
      </c>
      <c r="H40" s="218">
        <f>SUM(B40:G40)</f>
        <v>9566609.3515960388</v>
      </c>
      <c r="J40" s="108">
        <f>SUM(J38:J39)</f>
        <v>1</v>
      </c>
    </row>
    <row r="41" spans="1:12" ht="15.75" thickBot="1" x14ac:dyDescent="0.3">
      <c r="A41" s="106"/>
      <c r="B41" s="129" t="s">
        <v>314</v>
      </c>
      <c r="C41" s="129" t="s">
        <v>314</v>
      </c>
      <c r="D41" s="288" t="s">
        <v>315</v>
      </c>
      <c r="E41" s="289"/>
      <c r="F41" s="289"/>
      <c r="G41" s="290"/>
      <c r="H41" s="60" t="s">
        <v>142</v>
      </c>
      <c r="J41" s="59"/>
    </row>
    <row r="42" spans="1:12" x14ac:dyDescent="0.25">
      <c r="A42" s="107" t="s">
        <v>300</v>
      </c>
      <c r="B42" s="215">
        <f>K26*J42</f>
        <v>1997063.7568247989</v>
      </c>
      <c r="C42" s="215">
        <f>K27*J42</f>
        <v>1582578.8337233737</v>
      </c>
      <c r="D42" s="215">
        <f>K28</f>
        <v>2181818.1946276138</v>
      </c>
      <c r="E42" s="215">
        <f>K29</f>
        <v>666666.73136495799</v>
      </c>
      <c r="F42" s="215">
        <f>K30</f>
        <v>0</v>
      </c>
      <c r="G42" s="215">
        <f>K31</f>
        <v>2000000.121813758</v>
      </c>
      <c r="H42" s="215">
        <f>SUM(B42:G42)</f>
        <v>8428127.6383545026</v>
      </c>
      <c r="J42" s="109">
        <f>'1) MOCK DATA'!K142</f>
        <v>0.99853190287972893</v>
      </c>
    </row>
    <row r="43" spans="1:12" ht="15.75" thickBot="1" x14ac:dyDescent="0.3">
      <c r="A43" s="107" t="s">
        <v>301</v>
      </c>
      <c r="B43" s="216">
        <f>K26*J43</f>
        <v>2936.1941685956103</v>
      </c>
      <c r="C43" s="216">
        <f>K27*J43</f>
        <v>2326.7953900026982</v>
      </c>
      <c r="D43" s="216">
        <v>0</v>
      </c>
      <c r="E43" s="216">
        <v>0</v>
      </c>
      <c r="F43" s="216">
        <v>0</v>
      </c>
      <c r="G43" s="216">
        <v>0</v>
      </c>
      <c r="H43" s="216">
        <f>SUM(B43:G43)</f>
        <v>5262.9895585983086</v>
      </c>
      <c r="J43" s="110">
        <f>'1) MOCK DATA'!L142</f>
        <v>1.4680971202710334E-3</v>
      </c>
    </row>
    <row r="44" spans="1:12" ht="15.75" thickBot="1" x14ac:dyDescent="0.3">
      <c r="A44" s="57" t="s">
        <v>144</v>
      </c>
      <c r="B44" s="217">
        <f>K26</f>
        <v>1999999.9509933945</v>
      </c>
      <c r="C44" s="217">
        <f>K27</f>
        <v>1584905.6291133764</v>
      </c>
      <c r="D44" s="217">
        <f>K28</f>
        <v>2181818.1946276138</v>
      </c>
      <c r="E44" s="217">
        <f>K29</f>
        <v>666666.73136495799</v>
      </c>
      <c r="F44" s="217">
        <f>K30</f>
        <v>0</v>
      </c>
      <c r="G44" s="217">
        <f>K31</f>
        <v>2000000.121813758</v>
      </c>
      <c r="H44" s="218">
        <f>SUM(B44:G44)</f>
        <v>8433390.6279131006</v>
      </c>
      <c r="J44" s="108">
        <f>SUM(J42:J43)</f>
        <v>1</v>
      </c>
    </row>
    <row r="45" spans="1:12" ht="15.75" thickBot="1" x14ac:dyDescent="0.3">
      <c r="A45" s="58" t="s">
        <v>132</v>
      </c>
      <c r="B45" s="219">
        <f>SUM(B40:B44)</f>
        <v>5999999.8529801834</v>
      </c>
      <c r="C45" s="219">
        <f t="shared" ref="C45:G45" si="6">SUM(C40:C44)</f>
        <v>3584905.5896612084</v>
      </c>
      <c r="D45" s="219">
        <f t="shared" si="6"/>
        <v>10181818.241595529</v>
      </c>
      <c r="E45" s="219">
        <f t="shared" si="6"/>
        <v>1666666.828412395</v>
      </c>
      <c r="F45" s="219">
        <f t="shared" si="6"/>
        <v>999999.85114540718</v>
      </c>
      <c r="G45" s="219">
        <f t="shared" si="6"/>
        <v>4000000.2436275161</v>
      </c>
      <c r="H45" s="220">
        <f>H40+H44</f>
        <v>17999999.979509138</v>
      </c>
      <c r="J45" s="59"/>
    </row>
    <row r="46" spans="1:12" ht="15.75" thickBot="1" x14ac:dyDescent="0.3"/>
    <row r="47" spans="1:12" s="5" customFormat="1" ht="81" customHeight="1" thickBot="1" x14ac:dyDescent="0.3">
      <c r="A47" s="131" t="s">
        <v>140</v>
      </c>
      <c r="B47" s="130" t="s">
        <v>147</v>
      </c>
      <c r="C47" s="128" t="s">
        <v>303</v>
      </c>
      <c r="D47" s="128" t="s">
        <v>304</v>
      </c>
      <c r="E47" s="128" t="s">
        <v>305</v>
      </c>
      <c r="F47" s="128" t="s">
        <v>307</v>
      </c>
      <c r="G47" s="128" t="s">
        <v>306</v>
      </c>
      <c r="K47" s="2"/>
      <c r="L47" s="2"/>
    </row>
    <row r="48" spans="1:12" ht="15.75" thickBot="1" x14ac:dyDescent="0.3">
      <c r="A48" s="55"/>
      <c r="B48" s="116" t="s">
        <v>145</v>
      </c>
      <c r="C48" s="115" t="s">
        <v>146</v>
      </c>
      <c r="D48" s="111" t="s">
        <v>139</v>
      </c>
      <c r="E48" s="111" t="s">
        <v>139</v>
      </c>
      <c r="F48" s="111" t="s">
        <v>318</v>
      </c>
      <c r="G48" s="111" t="s">
        <v>319</v>
      </c>
    </row>
    <row r="49" spans="1:7" x14ac:dyDescent="0.25">
      <c r="A49" s="61" t="s">
        <v>148</v>
      </c>
      <c r="B49" s="62">
        <f>'1) MOCK DATA'!E141</f>
        <v>17</v>
      </c>
      <c r="C49" s="113">
        <f>'1) MOCK DATA'!I141</f>
        <v>1764</v>
      </c>
      <c r="D49" s="212">
        <f>H39</f>
        <v>44350.646254935476</v>
      </c>
      <c r="E49" s="212">
        <f>H38</f>
        <v>9522258.7053411026</v>
      </c>
      <c r="F49" s="212">
        <f>D49/B49</f>
        <v>2608.8615444079692</v>
      </c>
      <c r="G49" s="212">
        <f>E49/C49</f>
        <v>5398.1058420301033</v>
      </c>
    </row>
    <row r="50" spans="1:7" ht="15.75" thickBot="1" x14ac:dyDescent="0.3">
      <c r="A50" s="63" t="s">
        <v>149</v>
      </c>
      <c r="B50" s="64">
        <f>'1) MOCK DATA'!E142</f>
        <v>9</v>
      </c>
      <c r="C50" s="114">
        <f>'1) MOCK DATA'!I142</f>
        <v>8842</v>
      </c>
      <c r="D50" s="213">
        <f>H43</f>
        <v>5262.9895585983086</v>
      </c>
      <c r="E50" s="213">
        <f>H42</f>
        <v>8428127.6383545026</v>
      </c>
      <c r="F50" s="213">
        <f>D50/B50</f>
        <v>584.77661762203434</v>
      </c>
      <c r="G50" s="213">
        <f>E50/C50</f>
        <v>953.19244948591972</v>
      </c>
    </row>
    <row r="51" spans="1:7" ht="15.75" thickBot="1" x14ac:dyDescent="0.3">
      <c r="A51" s="65" t="s">
        <v>132</v>
      </c>
      <c r="B51" s="67"/>
      <c r="C51" s="66"/>
      <c r="D51" s="214">
        <f>SUM(D49:D50)</f>
        <v>49613.635813533787</v>
      </c>
      <c r="E51" s="214">
        <f>SUM(E49:E50)</f>
        <v>17950386.343695603</v>
      </c>
      <c r="F51" s="59"/>
      <c r="G51" s="59"/>
    </row>
  </sheetData>
  <mergeCells count="11">
    <mergeCell ref="J35:J36"/>
    <mergeCell ref="D37:G37"/>
    <mergeCell ref="D41:G41"/>
    <mergeCell ref="C30:D30"/>
    <mergeCell ref="C31:D31"/>
    <mergeCell ref="A35:A36"/>
    <mergeCell ref="C29:D29"/>
    <mergeCell ref="C24:D24"/>
    <mergeCell ref="C26:D26"/>
    <mergeCell ref="C27:D27"/>
    <mergeCell ref="C28:D28"/>
  </mergeCells>
  <pageMargins left="0.2" right="0.2" top="0.75" bottom="0.25" header="0.3" footer="0.3"/>
  <pageSetup scale="56" orientation="landscape" horizontalDpi="1200" verticalDpi="1200" r:id="rId1"/>
  <headerFooter>
    <oddHeader xml:space="preserve">&amp;C&amp;"-,Bold"
&amp;16&amp;KFF0000CURRENT METHODOLOGY USING MOCK DATA&amp;11&amp;K01+000
COST POOLS, SUMMARIES, AND BASE COST CALCULATIONS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tabSelected="1" workbookViewId="0">
      <selection activeCell="G14" sqref="G14"/>
    </sheetView>
  </sheetViews>
  <sheetFormatPr defaultRowHeight="15" x14ac:dyDescent="0.25"/>
  <cols>
    <col min="2" max="2" width="11.7109375" customWidth="1"/>
    <col min="3" max="3" width="19.5703125" customWidth="1"/>
    <col min="4" max="4" width="23.7109375" customWidth="1"/>
    <col min="5" max="8" width="20.7109375" customWidth="1"/>
    <col min="9" max="9" width="24.7109375" customWidth="1"/>
    <col min="10" max="11" width="10.5703125" bestFit="1" customWidth="1"/>
  </cols>
  <sheetData>
    <row r="1" spans="2:10" ht="15.75" thickBot="1" x14ac:dyDescent="0.3"/>
    <row r="2" spans="2:10" ht="60.75" thickBot="1" x14ac:dyDescent="0.3">
      <c r="B2" s="227" t="s">
        <v>140</v>
      </c>
      <c r="C2" s="228" t="s">
        <v>303</v>
      </c>
      <c r="D2" s="228" t="s">
        <v>328</v>
      </c>
      <c r="E2" s="228" t="s">
        <v>322</v>
      </c>
    </row>
    <row r="3" spans="2:10" ht="15.75" thickBot="1" x14ac:dyDescent="0.3">
      <c r="B3" s="229"/>
      <c r="C3" s="230" t="s">
        <v>323</v>
      </c>
      <c r="D3" s="230" t="s">
        <v>324</v>
      </c>
      <c r="E3" s="230" t="s">
        <v>329</v>
      </c>
    </row>
    <row r="4" spans="2:10" x14ac:dyDescent="0.25">
      <c r="B4" s="61" t="s">
        <v>148</v>
      </c>
      <c r="C4" s="62">
        <f>'3)MOCK DATA-CURRENT METHODOLOGY'!C49</f>
        <v>1764</v>
      </c>
      <c r="D4" s="224">
        <f>'3)MOCK DATA-CURRENT METHODOLOGY'!E49</f>
        <v>9522258.7053411026</v>
      </c>
      <c r="E4" s="222">
        <f>'3)MOCK DATA-CURRENT METHODOLOGY'!G49</f>
        <v>5398.1058420301033</v>
      </c>
    </row>
    <row r="5" spans="2:10" ht="15.75" thickBot="1" x14ac:dyDescent="0.3">
      <c r="B5" s="63" t="s">
        <v>149</v>
      </c>
      <c r="C5" s="64">
        <f>'3)MOCK DATA-CURRENT METHODOLOGY'!C50</f>
        <v>8842</v>
      </c>
      <c r="D5" s="225">
        <f>'3)MOCK DATA-CURRENT METHODOLOGY'!E50</f>
        <v>8428127.6383545026</v>
      </c>
      <c r="E5" s="223">
        <f>'3)MOCK DATA-CURRENT METHODOLOGY'!G50</f>
        <v>953.19244948591972</v>
      </c>
    </row>
    <row r="6" spans="2:10" ht="15.75" thickBot="1" x14ac:dyDescent="0.3">
      <c r="B6" s="65" t="s">
        <v>132</v>
      </c>
      <c r="C6" s="66"/>
      <c r="D6" s="226">
        <f>SUM(D4:D5)</f>
        <v>17950386.343695603</v>
      </c>
      <c r="E6" s="59"/>
    </row>
    <row r="7" spans="2:10" ht="15.75" thickBot="1" x14ac:dyDescent="0.3"/>
    <row r="8" spans="2:10" ht="45.75" thickBot="1" x14ac:dyDescent="0.3">
      <c r="B8" s="227" t="s">
        <v>140</v>
      </c>
      <c r="C8" s="228" t="s">
        <v>320</v>
      </c>
      <c r="D8" s="228" t="s">
        <v>327</v>
      </c>
      <c r="E8" s="228" t="s">
        <v>321</v>
      </c>
    </row>
    <row r="9" spans="2:10" ht="15.75" thickBot="1" x14ac:dyDescent="0.3">
      <c r="B9" s="229"/>
      <c r="C9" s="230" t="s">
        <v>325</v>
      </c>
      <c r="D9" s="230" t="s">
        <v>326</v>
      </c>
      <c r="E9" s="230" t="s">
        <v>330</v>
      </c>
    </row>
    <row r="10" spans="2:10" x14ac:dyDescent="0.25">
      <c r="B10" s="61" t="s">
        <v>148</v>
      </c>
      <c r="C10" s="62">
        <f>'3)MOCK DATA-CURRENT METHODOLOGY'!B49</f>
        <v>17</v>
      </c>
      <c r="D10" s="224">
        <f>'3)MOCK DATA-CURRENT METHODOLOGY'!D49</f>
        <v>44350.646254935476</v>
      </c>
      <c r="E10" s="222">
        <f>'3)MOCK DATA-CURRENT METHODOLOGY'!F49</f>
        <v>2608.8615444079692</v>
      </c>
      <c r="J10" s="231"/>
    </row>
    <row r="11" spans="2:10" ht="15.75" thickBot="1" x14ac:dyDescent="0.3">
      <c r="B11" s="63" t="s">
        <v>149</v>
      </c>
      <c r="C11" s="64">
        <f>'3)MOCK DATA-CURRENT METHODOLOGY'!B50</f>
        <v>9</v>
      </c>
      <c r="D11" s="225">
        <f>'3)MOCK DATA-CURRENT METHODOLOGY'!D50</f>
        <v>5262.9895585983086</v>
      </c>
      <c r="E11" s="223">
        <f>'3)MOCK DATA-CURRENT METHODOLOGY'!F50</f>
        <v>584.77661762203434</v>
      </c>
      <c r="J11" s="231"/>
    </row>
    <row r="12" spans="2:10" ht="15.75" thickBot="1" x14ac:dyDescent="0.3">
      <c r="B12" s="65" t="s">
        <v>132</v>
      </c>
      <c r="C12" s="67"/>
      <c r="D12" s="226">
        <f>SUM(D10:D11)</f>
        <v>49613.635813533787</v>
      </c>
      <c r="E12"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MOCK DATA</vt:lpstr>
      <vt:lpstr>2) ANNUAL FEE DETAIL-MOCK DATA</vt:lpstr>
      <vt:lpstr>3)MOCK DATA-CURRENT METHODOLOGY</vt:lpstr>
      <vt:lpstr>GHJ Methodology Summary</vt:lpstr>
      <vt:lpstr>'1) MOCK DATA'!Print_Area</vt:lpstr>
      <vt:lpstr>'2) ANNUAL FEE DETAIL-MOCK DATA'!Print_Area</vt:lpstr>
      <vt:lpstr>'3)MOCK DATA-CURRENT METHODOLOGY'!Print_Area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Baxter, Stacey</dc:creator>
  <cp:lastModifiedBy>Administrator</cp:lastModifiedBy>
  <cp:lastPrinted>2022-12-28T22:49:39Z</cp:lastPrinted>
  <dcterms:created xsi:type="dcterms:W3CDTF">2022-12-20T14:13:13Z</dcterms:created>
  <dcterms:modified xsi:type="dcterms:W3CDTF">2023-05-16T15:13:05Z</dcterms:modified>
</cp:coreProperties>
</file>